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tabRatio="978" activeTab="0"/>
  </bookViews>
  <sheets>
    <sheet name="Prognoseark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<sst xmlns="http://schemas.openxmlformats.org/spreadsheetml/2006/main" count="67" uniqueCount="33">
  <si>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9 mdr.</t>
  </si>
  <si>
    <t>Afvigelse</t>
  </si>
  <si>
    <t>Budget</t>
  </si>
  <si>
    <t>Undervisning</t>
  </si>
  <si>
    <t>Finansposter</t>
  </si>
  <si>
    <t>Børne- og Ungdomsforvaltningen</t>
  </si>
  <si>
    <t>Specialundervisning</t>
  </si>
  <si>
    <t>Forventet regnskab</t>
  </si>
  <si>
    <t>Udgifter</t>
  </si>
  <si>
    <t>Indtægter</t>
  </si>
  <si>
    <t>Netto</t>
  </si>
  <si>
    <t>Vedtaget budget</t>
  </si>
  <si>
    <t>Tillægsbevillinger</t>
  </si>
  <si>
    <t>Korrigeret budget</t>
  </si>
  <si>
    <t>Regnskab</t>
  </si>
  <si>
    <t>DW-regnskab</t>
  </si>
  <si>
    <t>Rammebelagt drift</t>
  </si>
  <si>
    <t>Dagtilbud</t>
  </si>
  <si>
    <t>Heraf Hovedkonti 0</t>
  </si>
  <si>
    <t>Dagtilbud - special</t>
  </si>
  <si>
    <t>Heraf Hovedkonti 5</t>
  </si>
  <si>
    <t>Heraf Hovedkonti 3</t>
  </si>
  <si>
    <t>Administration</t>
  </si>
  <si>
    <t>Heraf Hovedkonti 6</t>
  </si>
  <si>
    <t>Efterspørgselsstyret service</t>
  </si>
  <si>
    <t>Fritidshjem og klubber</t>
  </si>
  <si>
    <t>Fritidshjem og klubber - special</t>
  </si>
  <si>
    <t>Heraf Hovedkonti 4</t>
  </si>
  <si>
    <t>Sundhed</t>
  </si>
  <si>
    <t>Miljø</t>
  </si>
  <si>
    <t>Anlæg</t>
  </si>
  <si>
    <t>Efterspørgselsstyrede overførsler</t>
  </si>
  <si>
    <t>Kassebevægelse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</si>
</sst>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left" indent="1"/>
    </xf>
    <xf numFmtId="3" fontId="7" fillId="3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0" fontId="8" fillId="2" borderId="23" xfId="0" applyFont="1" applyFill="1" applyBorder="1" applyAlignment="1">
      <alignment/>
    </xf>
    <xf numFmtId="3" fontId="8" fillId="3" borderId="24" xfId="0" applyNumberFormat="1" applyFont="1" applyFill="1" applyBorder="1" applyAlignment="1" quotePrefix="1">
      <alignment/>
    </xf>
    <xf numFmtId="3" fontId="1" fillId="3" borderId="0" xfId="0" applyNumberFormat="1" applyFont="1" applyFill="1" applyBorder="1" applyAlignment="1" quotePrefix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7" fillId="3" borderId="0" xfId="0" applyNumberFormat="1" applyFont="1" applyFill="1" applyBorder="1" applyAlignment="1" quotePrefix="1">
      <alignment/>
    </xf>
    <xf numFmtId="0" fontId="7" fillId="2" borderId="13" xfId="0" applyFont="1" applyFill="1" applyBorder="1" applyAlignment="1" quotePrefix="1">
      <alignment horizontal="left" indent="1"/>
    </xf>
    <xf numFmtId="3" fontId="1" fillId="3" borderId="18" xfId="0" applyNumberFormat="1" applyFont="1" applyFill="1" applyBorder="1" applyAlignment="1">
      <alignment/>
    </xf>
    <xf numFmtId="3" fontId="1" fillId="3" borderId="27" xfId="0" applyNumberFormat="1" applyFont="1" applyFill="1" applyBorder="1" applyAlignment="1">
      <alignment/>
    </xf>
    <xf numFmtId="3" fontId="7" fillId="3" borderId="0" xfId="0" applyNumberFormat="1" applyFont="1" applyFill="1" applyBorder="1" applyAlignment="1" quotePrefix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8" fillId="3" borderId="24" xfId="0" applyNumberFormat="1" applyFont="1" applyFill="1" applyBorder="1" applyAlignment="1">
      <alignment/>
    </xf>
    <xf numFmtId="3" fontId="8" fillId="3" borderId="30" xfId="0" applyNumberFormat="1" applyFont="1" applyFill="1" applyBorder="1" applyAlignment="1">
      <alignment/>
    </xf>
    <xf numFmtId="3" fontId="8" fillId="3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0" fontId="8" fillId="2" borderId="34" xfId="0" applyFont="1" applyFill="1" applyBorder="1" applyAlignment="1">
      <alignment/>
    </xf>
    <xf numFmtId="3" fontId="8" fillId="3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3" borderId="39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 indent="1"/>
    </xf>
    <xf numFmtId="0" fontId="9" fillId="0" borderId="0" xfId="0" applyFont="1" applyAlignment="1">
      <alignment/>
    </xf>
    <xf numFmtId="3" fontId="7" fillId="3" borderId="18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0" fontId="6" fillId="0" borderId="0" xfId="2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Hyperlink_Ydelser, serviceudgifter og prognoseark (31.07.07)" xfId="20"/>
    <cellStyle name="Percent" xfId="21"/>
    <cellStyle name="Currency" xfId="22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workbookViewId="0" topLeftCell="A1">
      <selection activeCell="B1" sqref="B1"/>
    </sheetView>
  </sheetViews>
  <sheetFormatPr defaultColWidth="9.140625" defaultRowHeight="12.75"/>
  <cols>
    <col min="1" max="1" width="31.57421875" style="0" bestFit="1" customWidth="1"/>
    <col min="17" max="17" width="12.7109375" style="0" bestFit="1" customWidth="1"/>
    <col min="18" max="18" width="12.28125" style="0" bestFit="1" customWidth="1"/>
    <col min="19" max="19" width="12.00390625" style="0" customWidth="1"/>
  </cols>
  <sheetData>
    <row r="1" spans="1:20" ht="12.75">
      <c r="A1" s="75" t="s">
        <v>5</v>
      </c>
      <c r="B1" s="1"/>
      <c r="C1" s="74"/>
      <c r="D1" s="74"/>
      <c r="E1" s="74"/>
      <c r="F1" s="74"/>
      <c r="G1" s="1"/>
      <c r="H1" s="1"/>
      <c r="I1" s="1"/>
      <c r="K1" s="1"/>
      <c r="P1" s="2"/>
      <c r="R1" s="1"/>
      <c r="S1" s="1"/>
      <c r="T1" s="1"/>
    </row>
    <row r="2" spans="1:19" ht="13.5" thickBot="1">
      <c r="A2" s="80"/>
      <c r="S2" s="71"/>
    </row>
    <row r="3" spans="1:20" ht="12.75">
      <c r="A3" s="3"/>
      <c r="B3" s="76" t="s">
        <v>11</v>
      </c>
      <c r="C3" s="77"/>
      <c r="D3" s="78"/>
      <c r="E3" s="76" t="s">
        <v>12</v>
      </c>
      <c r="F3" s="77"/>
      <c r="G3" s="78"/>
      <c r="H3" s="76" t="s">
        <v>13</v>
      </c>
      <c r="I3" s="77"/>
      <c r="J3" s="78"/>
      <c r="K3" s="76" t="s">
        <v>7</v>
      </c>
      <c r="L3" s="77"/>
      <c r="M3" s="79"/>
      <c r="N3" s="76" t="s">
        <v>1</v>
      </c>
      <c r="O3" s="77"/>
      <c r="P3" s="78"/>
      <c r="Q3" s="6" t="s">
        <v>2</v>
      </c>
      <c r="R3" s="4" t="s">
        <v>14</v>
      </c>
      <c r="S3" s="4" t="s">
        <v>15</v>
      </c>
      <c r="T3" s="5" t="s">
        <v>1</v>
      </c>
    </row>
    <row r="4" spans="1:20" ht="13.5" thickBot="1">
      <c r="A4" s="7"/>
      <c r="B4" s="8" t="s">
        <v>8</v>
      </c>
      <c r="C4" s="9" t="s">
        <v>9</v>
      </c>
      <c r="D4" s="10" t="s">
        <v>10</v>
      </c>
      <c r="E4" s="8" t="s">
        <v>8</v>
      </c>
      <c r="F4" s="9" t="s">
        <v>9</v>
      </c>
      <c r="G4" s="10" t="s">
        <v>10</v>
      </c>
      <c r="H4" s="8" t="s">
        <v>8</v>
      </c>
      <c r="I4" s="9" t="s">
        <v>9</v>
      </c>
      <c r="J4" s="10" t="s">
        <v>10</v>
      </c>
      <c r="K4" s="8" t="s">
        <v>8</v>
      </c>
      <c r="L4" s="9" t="s">
        <v>9</v>
      </c>
      <c r="M4" s="11" t="s">
        <v>10</v>
      </c>
      <c r="N4" s="8" t="s">
        <v>8</v>
      </c>
      <c r="O4" s="9" t="s">
        <v>9</v>
      </c>
      <c r="P4" s="10" t="s">
        <v>10</v>
      </c>
      <c r="Q4" s="12" t="s">
        <v>0</v>
      </c>
      <c r="R4" s="9" t="s">
        <v>0</v>
      </c>
      <c r="S4" s="13"/>
      <c r="T4" s="14"/>
    </row>
    <row r="5" spans="1:20" ht="12.75">
      <c r="A5" s="15" t="s">
        <v>16</v>
      </c>
      <c r="B5" s="16">
        <f aca="true" t="shared" si="0" ref="B5:T5">B6+B8+B10</f>
        <v>383458</v>
      </c>
      <c r="C5" s="16">
        <f t="shared" si="0"/>
        <v>15960</v>
      </c>
      <c r="D5" s="16">
        <f t="shared" si="0"/>
        <v>367498</v>
      </c>
      <c r="E5" s="16">
        <f t="shared" si="0"/>
        <v>-65162</v>
      </c>
      <c r="F5" s="16">
        <f t="shared" si="0"/>
        <v>0</v>
      </c>
      <c r="G5" s="16">
        <f t="shared" si="0"/>
        <v>-65162</v>
      </c>
      <c r="H5" s="16">
        <f t="shared" si="0"/>
        <v>318296</v>
      </c>
      <c r="I5" s="16">
        <f t="shared" si="0"/>
        <v>15960</v>
      </c>
      <c r="J5" s="16">
        <f t="shared" si="0"/>
        <v>302336</v>
      </c>
      <c r="K5" s="16">
        <f t="shared" si="0"/>
        <v>320144</v>
      </c>
      <c r="L5" s="16">
        <f t="shared" si="0"/>
        <v>15960</v>
      </c>
      <c r="M5" s="16">
        <f t="shared" si="0"/>
        <v>304184</v>
      </c>
      <c r="N5" s="16">
        <f t="shared" si="0"/>
        <v>-1848</v>
      </c>
      <c r="O5" s="16">
        <f t="shared" si="0"/>
        <v>0</v>
      </c>
      <c r="P5" s="16">
        <f t="shared" si="0"/>
        <v>-1848</v>
      </c>
      <c r="Q5" s="16">
        <f t="shared" si="0"/>
        <v>175421</v>
      </c>
      <c r="R5" s="16">
        <f t="shared" si="0"/>
        <v>182548</v>
      </c>
      <c r="S5" s="16">
        <f t="shared" si="0"/>
        <v>0</v>
      </c>
      <c r="T5" s="16">
        <f t="shared" si="0"/>
        <v>-182548</v>
      </c>
    </row>
    <row r="6" spans="1:20" ht="12.75">
      <c r="A6" s="17" t="s">
        <v>17</v>
      </c>
      <c r="B6" s="18">
        <f>38346-99</f>
        <v>38247</v>
      </c>
      <c r="C6" s="18">
        <v>3975</v>
      </c>
      <c r="D6" s="18">
        <f aca="true" t="shared" si="1" ref="D6:D11">B6-C6</f>
        <v>34272</v>
      </c>
      <c r="E6" s="19">
        <f>E7</f>
        <v>300</v>
      </c>
      <c r="F6" s="20">
        <f>F7</f>
        <v>0</v>
      </c>
      <c r="G6" s="18">
        <f aca="true" t="shared" si="2" ref="G6:G11">E6-F6</f>
        <v>300</v>
      </c>
      <c r="H6" s="18">
        <f aca="true" t="shared" si="3" ref="H6:I11">B6+E6</f>
        <v>38547</v>
      </c>
      <c r="I6" s="18">
        <f t="shared" si="3"/>
        <v>3975</v>
      </c>
      <c r="J6" s="18">
        <f aca="true" t="shared" si="4" ref="J6:J11">H6-I6</f>
        <v>34572</v>
      </c>
      <c r="K6" s="18">
        <f aca="true" t="shared" si="5" ref="K6:M11">H6-N6</f>
        <v>38547</v>
      </c>
      <c r="L6" s="18">
        <f t="shared" si="5"/>
        <v>3975</v>
      </c>
      <c r="M6" s="18">
        <f t="shared" si="5"/>
        <v>34572</v>
      </c>
      <c r="N6" s="21">
        <f>N7</f>
        <v>0</v>
      </c>
      <c r="O6" s="20">
        <f>O7</f>
        <v>0</v>
      </c>
      <c r="P6" s="22">
        <f aca="true" t="shared" si="6" ref="P6:P11">N6-O6</f>
        <v>0</v>
      </c>
      <c r="Q6" s="21">
        <f>Q7</f>
        <v>29000</v>
      </c>
      <c r="R6" s="23">
        <f>R7</f>
        <v>21776</v>
      </c>
      <c r="S6" s="20"/>
      <c r="T6" s="22">
        <f>S6-R6</f>
        <v>-21776</v>
      </c>
    </row>
    <row r="7" spans="1:20" ht="12.75">
      <c r="A7" s="24" t="s">
        <v>18</v>
      </c>
      <c r="B7" s="25">
        <f>38346-99</f>
        <v>38247</v>
      </c>
      <c r="C7" s="25">
        <v>3975</v>
      </c>
      <c r="D7" s="25">
        <f t="shared" si="1"/>
        <v>34272</v>
      </c>
      <c r="E7" s="26">
        <f>4048-3748</f>
        <v>300</v>
      </c>
      <c r="F7" s="27">
        <v>0</v>
      </c>
      <c r="G7" s="25">
        <f t="shared" si="2"/>
        <v>300</v>
      </c>
      <c r="H7" s="25">
        <f t="shared" si="3"/>
        <v>38547</v>
      </c>
      <c r="I7" s="25">
        <f t="shared" si="3"/>
        <v>3975</v>
      </c>
      <c r="J7" s="25">
        <f t="shared" si="4"/>
        <v>34572</v>
      </c>
      <c r="K7" s="25">
        <f t="shared" si="5"/>
        <v>38547</v>
      </c>
      <c r="L7" s="25">
        <f t="shared" si="5"/>
        <v>3975</v>
      </c>
      <c r="M7" s="25">
        <f t="shared" si="5"/>
        <v>34572</v>
      </c>
      <c r="N7" s="28">
        <v>0</v>
      </c>
      <c r="O7" s="27">
        <v>0</v>
      </c>
      <c r="P7" s="29">
        <f t="shared" si="6"/>
        <v>0</v>
      </c>
      <c r="Q7" s="28">
        <v>29000</v>
      </c>
      <c r="R7" s="30">
        <v>21776</v>
      </c>
      <c r="S7" s="27"/>
      <c r="T7" s="22"/>
    </row>
    <row r="8" spans="1:20" ht="12.75">
      <c r="A8" s="31" t="s">
        <v>19</v>
      </c>
      <c r="B8" s="18">
        <v>31983</v>
      </c>
      <c r="C8" s="18">
        <v>9324</v>
      </c>
      <c r="D8" s="18">
        <f t="shared" si="1"/>
        <v>22659</v>
      </c>
      <c r="E8" s="32">
        <f>E9</f>
        <v>-6416</v>
      </c>
      <c r="F8" s="33">
        <f>F9</f>
        <v>0</v>
      </c>
      <c r="G8" s="18">
        <f t="shared" si="2"/>
        <v>-6416</v>
      </c>
      <c r="H8" s="18">
        <f t="shared" si="3"/>
        <v>25567</v>
      </c>
      <c r="I8" s="18">
        <f t="shared" si="3"/>
        <v>9324</v>
      </c>
      <c r="J8" s="18">
        <f t="shared" si="4"/>
        <v>16243</v>
      </c>
      <c r="K8" s="18">
        <f t="shared" si="5"/>
        <v>23415</v>
      </c>
      <c r="L8" s="18">
        <f t="shared" si="5"/>
        <v>9324</v>
      </c>
      <c r="M8" s="18">
        <f t="shared" si="5"/>
        <v>14091</v>
      </c>
      <c r="N8" s="21">
        <f>N9</f>
        <v>2152</v>
      </c>
      <c r="O8" s="33">
        <f>O9</f>
        <v>0</v>
      </c>
      <c r="P8" s="22">
        <f t="shared" si="6"/>
        <v>2152</v>
      </c>
      <c r="Q8" s="21">
        <f>Q9</f>
        <v>2145</v>
      </c>
      <c r="R8" s="23">
        <f>R9</f>
        <v>8366</v>
      </c>
      <c r="S8" s="27"/>
      <c r="T8" s="22">
        <f>S8-R8</f>
        <v>-8366</v>
      </c>
    </row>
    <row r="9" spans="1:20" ht="12.75">
      <c r="A9" s="24" t="s">
        <v>20</v>
      </c>
      <c r="B9" s="25">
        <v>31983</v>
      </c>
      <c r="C9" s="25">
        <v>9324</v>
      </c>
      <c r="D9" s="25">
        <f t="shared" si="1"/>
        <v>22659</v>
      </c>
      <c r="E9" s="26">
        <f>2074-8490</f>
        <v>-6416</v>
      </c>
      <c r="F9" s="27">
        <v>0</v>
      </c>
      <c r="G9" s="25">
        <f t="shared" si="2"/>
        <v>-6416</v>
      </c>
      <c r="H9" s="25">
        <f t="shared" si="3"/>
        <v>25567</v>
      </c>
      <c r="I9" s="25">
        <f t="shared" si="3"/>
        <v>9324</v>
      </c>
      <c r="J9" s="25">
        <f t="shared" si="4"/>
        <v>16243</v>
      </c>
      <c r="K9" s="25">
        <f t="shared" si="5"/>
        <v>23415</v>
      </c>
      <c r="L9" s="25">
        <f t="shared" si="5"/>
        <v>9324</v>
      </c>
      <c r="M9" s="25">
        <f t="shared" si="5"/>
        <v>14091</v>
      </c>
      <c r="N9" s="28">
        <v>2152</v>
      </c>
      <c r="O9" s="27">
        <v>0</v>
      </c>
      <c r="P9" s="29">
        <f t="shared" si="6"/>
        <v>2152</v>
      </c>
      <c r="Q9" s="28">
        <v>2145</v>
      </c>
      <c r="R9" s="30">
        <v>8366</v>
      </c>
      <c r="S9" s="27"/>
      <c r="T9" s="22"/>
    </row>
    <row r="10" spans="1:20" ht="12.75">
      <c r="A10" s="31" t="s">
        <v>22</v>
      </c>
      <c r="B10" s="18">
        <v>313228</v>
      </c>
      <c r="C10" s="18">
        <v>2661</v>
      </c>
      <c r="D10" s="18">
        <f t="shared" si="1"/>
        <v>310567</v>
      </c>
      <c r="E10" s="32">
        <f>E11</f>
        <v>-59046</v>
      </c>
      <c r="F10" s="33">
        <f>F11</f>
        <v>0</v>
      </c>
      <c r="G10" s="18">
        <f t="shared" si="2"/>
        <v>-59046</v>
      </c>
      <c r="H10" s="18">
        <f t="shared" si="3"/>
        <v>254182</v>
      </c>
      <c r="I10" s="18">
        <f t="shared" si="3"/>
        <v>2661</v>
      </c>
      <c r="J10" s="18">
        <f t="shared" si="4"/>
        <v>251521</v>
      </c>
      <c r="K10" s="18">
        <f t="shared" si="5"/>
        <v>258182</v>
      </c>
      <c r="L10" s="18">
        <f t="shared" si="5"/>
        <v>2661</v>
      </c>
      <c r="M10" s="18">
        <f t="shared" si="5"/>
        <v>255521</v>
      </c>
      <c r="N10" s="21">
        <f>N11</f>
        <v>-4000</v>
      </c>
      <c r="O10" s="33">
        <f>O11</f>
        <v>0</v>
      </c>
      <c r="P10" s="22">
        <f t="shared" si="6"/>
        <v>-4000</v>
      </c>
      <c r="Q10" s="21">
        <f>Q11</f>
        <v>144276</v>
      </c>
      <c r="R10" s="23">
        <f>R11</f>
        <v>152406</v>
      </c>
      <c r="S10" s="27"/>
      <c r="T10" s="22">
        <f>S10-R10</f>
        <v>-152406</v>
      </c>
    </row>
    <row r="11" spans="1:20" ht="12.75">
      <c r="A11" s="24" t="s">
        <v>23</v>
      </c>
      <c r="B11" s="25">
        <v>313228</v>
      </c>
      <c r="C11" s="25">
        <v>2661</v>
      </c>
      <c r="D11" s="25">
        <f t="shared" si="1"/>
        <v>310567</v>
      </c>
      <c r="E11" s="34">
        <f>-76105+17207-148</f>
        <v>-59046</v>
      </c>
      <c r="F11" s="35">
        <v>0</v>
      </c>
      <c r="G11" s="25">
        <f t="shared" si="2"/>
        <v>-59046</v>
      </c>
      <c r="H11" s="25">
        <f t="shared" si="3"/>
        <v>254182</v>
      </c>
      <c r="I11" s="25">
        <f t="shared" si="3"/>
        <v>2661</v>
      </c>
      <c r="J11" s="25">
        <f t="shared" si="4"/>
        <v>251521</v>
      </c>
      <c r="K11" s="25">
        <f t="shared" si="5"/>
        <v>258182</v>
      </c>
      <c r="L11" s="25">
        <f t="shared" si="5"/>
        <v>2661</v>
      </c>
      <c r="M11" s="25">
        <f t="shared" si="5"/>
        <v>255521</v>
      </c>
      <c r="N11" s="28">
        <v>-4000</v>
      </c>
      <c r="O11" s="35">
        <v>0</v>
      </c>
      <c r="P11" s="29">
        <f t="shared" si="6"/>
        <v>-4000</v>
      </c>
      <c r="Q11" s="28">
        <v>144276</v>
      </c>
      <c r="R11" s="30">
        <v>152406</v>
      </c>
      <c r="S11" s="35"/>
      <c r="T11" s="36"/>
    </row>
    <row r="12" spans="1:20" ht="12.75">
      <c r="A12" s="37" t="s">
        <v>24</v>
      </c>
      <c r="B12" s="38">
        <f aca="true" t="shared" si="7" ref="B12:T12">B13+B16+B18+B22+B25+B31+B27+B34</f>
        <v>7752892</v>
      </c>
      <c r="C12" s="38">
        <f t="shared" si="7"/>
        <v>1208735</v>
      </c>
      <c r="D12" s="38">
        <f t="shared" si="7"/>
        <v>6544157</v>
      </c>
      <c r="E12" s="38">
        <f t="shared" si="7"/>
        <v>525936</v>
      </c>
      <c r="F12" s="38">
        <f t="shared" si="7"/>
        <v>0</v>
      </c>
      <c r="G12" s="38">
        <f t="shared" si="7"/>
        <v>525936</v>
      </c>
      <c r="H12" s="38">
        <f t="shared" si="7"/>
        <v>8278828</v>
      </c>
      <c r="I12" s="38">
        <f t="shared" si="7"/>
        <v>1208735</v>
      </c>
      <c r="J12" s="38">
        <f t="shared" si="7"/>
        <v>7070093</v>
      </c>
      <c r="K12" s="38">
        <f t="shared" si="7"/>
        <v>8216388</v>
      </c>
      <c r="L12" s="38">
        <f t="shared" si="7"/>
        <v>1205075</v>
      </c>
      <c r="M12" s="38">
        <f t="shared" si="7"/>
        <v>7011313</v>
      </c>
      <c r="N12" s="38">
        <f t="shared" si="7"/>
        <v>62440</v>
      </c>
      <c r="O12" s="38">
        <f t="shared" si="7"/>
        <v>3660</v>
      </c>
      <c r="P12" s="38">
        <f t="shared" si="7"/>
        <v>58780</v>
      </c>
      <c r="Q12" s="38">
        <f t="shared" si="7"/>
        <v>5498729</v>
      </c>
      <c r="R12" s="38">
        <f t="shared" si="7"/>
        <v>5287169</v>
      </c>
      <c r="S12" s="38">
        <f t="shared" si="7"/>
        <v>0</v>
      </c>
      <c r="T12" s="38">
        <f t="shared" si="7"/>
        <v>-5287169</v>
      </c>
    </row>
    <row r="13" spans="1:20" ht="12.75">
      <c r="A13" s="17" t="s">
        <v>17</v>
      </c>
      <c r="B13" s="39">
        <v>3497011</v>
      </c>
      <c r="C13" s="18">
        <v>815555</v>
      </c>
      <c r="D13" s="18">
        <f aca="true" t="shared" si="8" ref="D13:D36">B13-C13</f>
        <v>2681456</v>
      </c>
      <c r="E13" s="19">
        <f>E14+E15</f>
        <v>131750</v>
      </c>
      <c r="F13" s="20">
        <f>F14+F15</f>
        <v>0</v>
      </c>
      <c r="G13" s="18">
        <f aca="true" t="shared" si="9" ref="G13:G29">E13-F13</f>
        <v>131750</v>
      </c>
      <c r="H13" s="18">
        <f aca="true" t="shared" si="10" ref="H13:H36">B13+E13</f>
        <v>3628761</v>
      </c>
      <c r="I13" s="18">
        <f aca="true" t="shared" si="11" ref="I13:I36">C13+F13</f>
        <v>815555</v>
      </c>
      <c r="J13" s="18">
        <f aca="true" t="shared" si="12" ref="J13:J36">H13-I13</f>
        <v>2813206</v>
      </c>
      <c r="K13" s="18">
        <f aca="true" t="shared" si="13" ref="K13:K28">H13-N13</f>
        <v>3527260</v>
      </c>
      <c r="L13" s="18">
        <f aca="true" t="shared" si="14" ref="L13:L28">I13-O13</f>
        <v>784555</v>
      </c>
      <c r="M13" s="18">
        <f aca="true" t="shared" si="15" ref="M13:M29">J13-P13</f>
        <v>2742705</v>
      </c>
      <c r="N13" s="40">
        <f>N14+N15</f>
        <v>101501</v>
      </c>
      <c r="O13" s="20">
        <f>O14+O15</f>
        <v>31000</v>
      </c>
      <c r="P13" s="22">
        <f aca="true" t="shared" si="16" ref="P13:P27">N13-O13</f>
        <v>70501</v>
      </c>
      <c r="Q13" s="40">
        <f>Q14+Q15</f>
        <v>2217218</v>
      </c>
      <c r="R13" s="41">
        <f>R14+R15</f>
        <v>1993184</v>
      </c>
      <c r="S13" s="20"/>
      <c r="T13" s="22">
        <f>S13-R13</f>
        <v>-1993184</v>
      </c>
    </row>
    <row r="14" spans="1:20" ht="12.75">
      <c r="A14" s="24" t="s">
        <v>21</v>
      </c>
      <c r="B14" s="39">
        <v>0</v>
      </c>
      <c r="C14" s="18">
        <v>0</v>
      </c>
      <c r="D14" s="18">
        <f>B14-C14</f>
        <v>0</v>
      </c>
      <c r="E14" s="32">
        <f>0+3000</f>
        <v>3000</v>
      </c>
      <c r="F14" s="33">
        <v>0</v>
      </c>
      <c r="G14" s="18">
        <f>E14-F14</f>
        <v>3000</v>
      </c>
      <c r="H14" s="18">
        <f>B14+E14</f>
        <v>3000</v>
      </c>
      <c r="I14" s="18">
        <f>C14+F14</f>
        <v>0</v>
      </c>
      <c r="J14" s="18">
        <f>H14-I14</f>
        <v>3000</v>
      </c>
      <c r="K14" s="18">
        <f>H14-N14</f>
        <v>3000</v>
      </c>
      <c r="L14" s="18">
        <f>I14-O14</f>
        <v>0</v>
      </c>
      <c r="M14" s="18">
        <f>J14-P14</f>
        <v>3000</v>
      </c>
      <c r="N14" s="21">
        <v>0</v>
      </c>
      <c r="O14" s="33">
        <v>0</v>
      </c>
      <c r="P14" s="22">
        <f t="shared" si="16"/>
        <v>0</v>
      </c>
      <c r="Q14" s="21">
        <v>0</v>
      </c>
      <c r="R14" s="23">
        <v>2739</v>
      </c>
      <c r="S14" s="33"/>
      <c r="T14" s="22"/>
    </row>
    <row r="15" spans="1:20" ht="12.75">
      <c r="A15" s="24" t="s">
        <v>20</v>
      </c>
      <c r="B15" s="42">
        <v>3497011</v>
      </c>
      <c r="C15" s="25">
        <v>815555</v>
      </c>
      <c r="D15" s="25">
        <f t="shared" si="8"/>
        <v>2681456</v>
      </c>
      <c r="E15" s="26">
        <f>195106-67619+1263</f>
        <v>128750</v>
      </c>
      <c r="F15" s="27">
        <v>0</v>
      </c>
      <c r="G15" s="25">
        <f t="shared" si="9"/>
        <v>128750</v>
      </c>
      <c r="H15" s="25">
        <f t="shared" si="10"/>
        <v>3625761</v>
      </c>
      <c r="I15" s="25">
        <f t="shared" si="11"/>
        <v>815555</v>
      </c>
      <c r="J15" s="25">
        <f t="shared" si="12"/>
        <v>2810206</v>
      </c>
      <c r="K15" s="25">
        <f t="shared" si="13"/>
        <v>3524260</v>
      </c>
      <c r="L15" s="25">
        <f t="shared" si="14"/>
        <v>784555</v>
      </c>
      <c r="M15" s="25">
        <f t="shared" si="15"/>
        <v>2739705</v>
      </c>
      <c r="N15" s="28">
        <v>101501</v>
      </c>
      <c r="O15" s="27">
        <v>31000</v>
      </c>
      <c r="P15" s="29">
        <f t="shared" si="16"/>
        <v>70501</v>
      </c>
      <c r="Q15" s="28">
        <v>2217218</v>
      </c>
      <c r="R15" s="30">
        <v>1990445</v>
      </c>
      <c r="S15" s="27"/>
      <c r="T15" s="22"/>
    </row>
    <row r="16" spans="1:20" ht="12.75">
      <c r="A16" s="17" t="s">
        <v>19</v>
      </c>
      <c r="B16" s="39">
        <v>131394</v>
      </c>
      <c r="C16" s="18">
        <v>62759</v>
      </c>
      <c r="D16" s="18">
        <f t="shared" si="8"/>
        <v>68635</v>
      </c>
      <c r="E16" s="32">
        <f>E17</f>
        <v>22489</v>
      </c>
      <c r="F16" s="33">
        <f>F17</f>
        <v>0</v>
      </c>
      <c r="G16" s="18">
        <f t="shared" si="9"/>
        <v>22489</v>
      </c>
      <c r="H16" s="18">
        <f t="shared" si="10"/>
        <v>153883</v>
      </c>
      <c r="I16" s="18">
        <f t="shared" si="11"/>
        <v>62759</v>
      </c>
      <c r="J16" s="18">
        <f t="shared" si="12"/>
        <v>91124</v>
      </c>
      <c r="K16" s="18">
        <f t="shared" si="13"/>
        <v>141784</v>
      </c>
      <c r="L16" s="18">
        <f t="shared" si="14"/>
        <v>59429</v>
      </c>
      <c r="M16" s="18">
        <f t="shared" si="15"/>
        <v>82355</v>
      </c>
      <c r="N16" s="21">
        <f>N17</f>
        <v>12099</v>
      </c>
      <c r="O16" s="33">
        <f>O17</f>
        <v>3330</v>
      </c>
      <c r="P16" s="22">
        <f t="shared" si="16"/>
        <v>8769</v>
      </c>
      <c r="Q16" s="21">
        <f>Q17</f>
        <v>62948</v>
      </c>
      <c r="R16" s="23">
        <f>R17</f>
        <v>68908</v>
      </c>
      <c r="S16" s="27"/>
      <c r="T16" s="22">
        <f>S16-R16</f>
        <v>-68908</v>
      </c>
    </row>
    <row r="17" spans="1:20" ht="12.75">
      <c r="A17" s="24" t="s">
        <v>20</v>
      </c>
      <c r="B17" s="42">
        <v>131394</v>
      </c>
      <c r="C17" s="25">
        <v>62759</v>
      </c>
      <c r="D17" s="25">
        <f t="shared" si="8"/>
        <v>68635</v>
      </c>
      <c r="E17" s="26">
        <f>11394+11095</f>
        <v>22489</v>
      </c>
      <c r="F17" s="27">
        <v>0</v>
      </c>
      <c r="G17" s="25">
        <f t="shared" si="9"/>
        <v>22489</v>
      </c>
      <c r="H17" s="25">
        <f t="shared" si="10"/>
        <v>153883</v>
      </c>
      <c r="I17" s="25">
        <f t="shared" si="11"/>
        <v>62759</v>
      </c>
      <c r="J17" s="25">
        <f t="shared" si="12"/>
        <v>91124</v>
      </c>
      <c r="K17" s="25">
        <f t="shared" si="13"/>
        <v>141784</v>
      </c>
      <c r="L17" s="25">
        <f t="shared" si="14"/>
        <v>59429</v>
      </c>
      <c r="M17" s="25">
        <f t="shared" si="15"/>
        <v>82355</v>
      </c>
      <c r="N17" s="28">
        <v>12099</v>
      </c>
      <c r="O17" s="27">
        <v>3330</v>
      </c>
      <c r="P17" s="29">
        <f t="shared" si="16"/>
        <v>8769</v>
      </c>
      <c r="Q17" s="28">
        <v>62948</v>
      </c>
      <c r="R17" s="30">
        <v>68908</v>
      </c>
      <c r="S17" s="27"/>
      <c r="T17" s="22"/>
    </row>
    <row r="18" spans="1:20" ht="12.75">
      <c r="A18" s="17" t="s">
        <v>25</v>
      </c>
      <c r="B18" s="39">
        <v>862347</v>
      </c>
      <c r="C18" s="18">
        <v>226369</v>
      </c>
      <c r="D18" s="18">
        <f t="shared" si="8"/>
        <v>635978</v>
      </c>
      <c r="E18" s="32">
        <f>E19+E20+E21</f>
        <v>92990</v>
      </c>
      <c r="F18" s="33">
        <f>F19+F20+F21</f>
        <v>0</v>
      </c>
      <c r="G18" s="18">
        <f t="shared" si="9"/>
        <v>92990</v>
      </c>
      <c r="H18" s="18">
        <f t="shared" si="10"/>
        <v>955337</v>
      </c>
      <c r="I18" s="18">
        <f t="shared" si="11"/>
        <v>226369</v>
      </c>
      <c r="J18" s="18">
        <f t="shared" si="12"/>
        <v>728968</v>
      </c>
      <c r="K18" s="18">
        <f t="shared" si="13"/>
        <v>990345</v>
      </c>
      <c r="L18" s="18">
        <f t="shared" si="14"/>
        <v>227986</v>
      </c>
      <c r="M18" s="18">
        <f t="shared" si="15"/>
        <v>762359</v>
      </c>
      <c r="N18" s="21">
        <f>N19+N20+N21</f>
        <v>-35008</v>
      </c>
      <c r="O18" s="33">
        <f>O19+O20+O21</f>
        <v>-1617</v>
      </c>
      <c r="P18" s="22">
        <f t="shared" si="16"/>
        <v>-33391</v>
      </c>
      <c r="Q18" s="21">
        <f>Q19+Q20+Q21</f>
        <v>495775</v>
      </c>
      <c r="R18" s="23">
        <f>R19+R20+R21</f>
        <v>581609</v>
      </c>
      <c r="S18" s="27"/>
      <c r="T18" s="22">
        <f>S18-R18</f>
        <v>-581609</v>
      </c>
    </row>
    <row r="19" spans="1:20" ht="12.75">
      <c r="A19" s="24" t="s">
        <v>18</v>
      </c>
      <c r="B19" s="42">
        <v>1053</v>
      </c>
      <c r="C19" s="25">
        <v>376</v>
      </c>
      <c r="D19" s="25">
        <f t="shared" si="8"/>
        <v>677</v>
      </c>
      <c r="E19" s="26">
        <f>2+1</f>
        <v>3</v>
      </c>
      <c r="F19" s="27">
        <v>0</v>
      </c>
      <c r="G19" s="18">
        <f t="shared" si="9"/>
        <v>3</v>
      </c>
      <c r="H19" s="25">
        <f t="shared" si="10"/>
        <v>1056</v>
      </c>
      <c r="I19" s="25">
        <f t="shared" si="11"/>
        <v>376</v>
      </c>
      <c r="J19" s="25">
        <f t="shared" si="12"/>
        <v>680</v>
      </c>
      <c r="K19" s="25">
        <f t="shared" si="13"/>
        <v>476</v>
      </c>
      <c r="L19" s="25">
        <f t="shared" si="14"/>
        <v>376</v>
      </c>
      <c r="M19" s="18">
        <f t="shared" si="15"/>
        <v>100</v>
      </c>
      <c r="N19" s="28">
        <v>580</v>
      </c>
      <c r="O19" s="27">
        <v>0</v>
      </c>
      <c r="P19" s="22">
        <f t="shared" si="16"/>
        <v>580</v>
      </c>
      <c r="Q19" s="28">
        <v>-151</v>
      </c>
      <c r="R19" s="30">
        <v>29</v>
      </c>
      <c r="S19" s="27"/>
      <c r="T19" s="29"/>
    </row>
    <row r="20" spans="1:20" ht="12.75">
      <c r="A20" s="24" t="s">
        <v>21</v>
      </c>
      <c r="B20" s="42">
        <v>70248</v>
      </c>
      <c r="C20" s="25">
        <v>639</v>
      </c>
      <c r="D20" s="25">
        <f t="shared" si="8"/>
        <v>69609</v>
      </c>
      <c r="E20" s="26">
        <f>-12426+6278</f>
        <v>-6148</v>
      </c>
      <c r="F20" s="27">
        <v>0</v>
      </c>
      <c r="G20" s="18">
        <f t="shared" si="9"/>
        <v>-6148</v>
      </c>
      <c r="H20" s="25">
        <f t="shared" si="10"/>
        <v>64100</v>
      </c>
      <c r="I20" s="25">
        <f t="shared" si="11"/>
        <v>639</v>
      </c>
      <c r="J20" s="25">
        <f t="shared" si="12"/>
        <v>63461</v>
      </c>
      <c r="K20" s="25">
        <f t="shared" si="13"/>
        <v>68203</v>
      </c>
      <c r="L20" s="25">
        <f t="shared" si="14"/>
        <v>739</v>
      </c>
      <c r="M20" s="18">
        <f t="shared" si="15"/>
        <v>67464</v>
      </c>
      <c r="N20" s="28">
        <v>-4103</v>
      </c>
      <c r="O20" s="27">
        <v>-100</v>
      </c>
      <c r="P20" s="22">
        <f t="shared" si="16"/>
        <v>-4003</v>
      </c>
      <c r="Q20" s="28">
        <v>39373</v>
      </c>
      <c r="R20" s="30">
        <v>60536</v>
      </c>
      <c r="S20" s="27"/>
      <c r="T20" s="29"/>
    </row>
    <row r="21" spans="1:20" ht="12.75">
      <c r="A21" s="24" t="s">
        <v>20</v>
      </c>
      <c r="B21" s="42">
        <v>791046</v>
      </c>
      <c r="C21" s="25">
        <v>225354</v>
      </c>
      <c r="D21" s="25">
        <f t="shared" si="8"/>
        <v>565692</v>
      </c>
      <c r="E21" s="26">
        <f>57519+41616</f>
        <v>99135</v>
      </c>
      <c r="F21" s="27">
        <v>0</v>
      </c>
      <c r="G21" s="25">
        <f t="shared" si="9"/>
        <v>99135</v>
      </c>
      <c r="H21" s="25">
        <f t="shared" si="10"/>
        <v>890181</v>
      </c>
      <c r="I21" s="25">
        <f t="shared" si="11"/>
        <v>225354</v>
      </c>
      <c r="J21" s="25">
        <f t="shared" si="12"/>
        <v>664827</v>
      </c>
      <c r="K21" s="25">
        <f t="shared" si="13"/>
        <v>921666</v>
      </c>
      <c r="L21" s="25">
        <f t="shared" si="14"/>
        <v>226871</v>
      </c>
      <c r="M21" s="25">
        <f t="shared" si="15"/>
        <v>694795</v>
      </c>
      <c r="N21" s="28">
        <v>-31485</v>
      </c>
      <c r="O21" s="27">
        <v>-1517</v>
      </c>
      <c r="P21" s="29">
        <f t="shared" si="16"/>
        <v>-29968</v>
      </c>
      <c r="Q21" s="28">
        <v>456553</v>
      </c>
      <c r="R21" s="30">
        <v>521044</v>
      </c>
      <c r="S21" s="27"/>
      <c r="T21" s="22"/>
    </row>
    <row r="22" spans="1:20" ht="12.75">
      <c r="A22" s="17" t="s">
        <v>26</v>
      </c>
      <c r="B22" s="39">
        <v>111476</v>
      </c>
      <c r="C22" s="18">
        <v>5136</v>
      </c>
      <c r="D22" s="18">
        <f t="shared" si="8"/>
        <v>106340</v>
      </c>
      <c r="E22" s="32">
        <f>E23+E24</f>
        <v>7496</v>
      </c>
      <c r="F22" s="33">
        <f>F23+F24</f>
        <v>0</v>
      </c>
      <c r="G22" s="18">
        <f t="shared" si="9"/>
        <v>7496</v>
      </c>
      <c r="H22" s="18">
        <f t="shared" si="10"/>
        <v>118972</v>
      </c>
      <c r="I22" s="18">
        <f t="shared" si="11"/>
        <v>5136</v>
      </c>
      <c r="J22" s="18">
        <f t="shared" si="12"/>
        <v>113836</v>
      </c>
      <c r="K22" s="18">
        <f t="shared" si="13"/>
        <v>110771</v>
      </c>
      <c r="L22" s="18">
        <f t="shared" si="14"/>
        <v>7136</v>
      </c>
      <c r="M22" s="18">
        <f t="shared" si="15"/>
        <v>103635</v>
      </c>
      <c r="N22" s="21">
        <f>N23+N24</f>
        <v>8201</v>
      </c>
      <c r="O22" s="33">
        <f>O23+O24</f>
        <v>-2000</v>
      </c>
      <c r="P22" s="22">
        <f t="shared" si="16"/>
        <v>10201</v>
      </c>
      <c r="Q22" s="21">
        <f>Q23+Q24</f>
        <v>94506</v>
      </c>
      <c r="R22" s="23">
        <f>R23+R24</f>
        <v>79010</v>
      </c>
      <c r="S22" s="27"/>
      <c r="T22" s="22">
        <f>S22-R22</f>
        <v>-79010</v>
      </c>
    </row>
    <row r="23" spans="1:20" ht="12.75">
      <c r="A23" s="24" t="s">
        <v>21</v>
      </c>
      <c r="B23" s="42">
        <v>62790</v>
      </c>
      <c r="C23" s="25">
        <v>4826</v>
      </c>
      <c r="D23" s="25">
        <f t="shared" si="8"/>
        <v>57964</v>
      </c>
      <c r="E23" s="26">
        <f>4639+1191</f>
        <v>5830</v>
      </c>
      <c r="F23" s="27">
        <v>0</v>
      </c>
      <c r="G23" s="25">
        <f t="shared" si="9"/>
        <v>5830</v>
      </c>
      <c r="H23" s="25">
        <f t="shared" si="10"/>
        <v>68620</v>
      </c>
      <c r="I23" s="25">
        <f t="shared" si="11"/>
        <v>4826</v>
      </c>
      <c r="J23" s="25">
        <f t="shared" si="12"/>
        <v>63794</v>
      </c>
      <c r="K23" s="25">
        <f t="shared" si="13"/>
        <v>71101</v>
      </c>
      <c r="L23" s="25">
        <f t="shared" si="14"/>
        <v>6826</v>
      </c>
      <c r="M23" s="25">
        <f t="shared" si="15"/>
        <v>64275</v>
      </c>
      <c r="N23" s="28">
        <v>-2481</v>
      </c>
      <c r="O23" s="27">
        <v>-2000</v>
      </c>
      <c r="P23" s="29">
        <f t="shared" si="16"/>
        <v>-481</v>
      </c>
      <c r="Q23" s="28">
        <v>48435</v>
      </c>
      <c r="R23" s="30">
        <v>43633</v>
      </c>
      <c r="S23" s="27"/>
      <c r="T23" s="22"/>
    </row>
    <row r="24" spans="1:20" ht="12.75">
      <c r="A24" s="24" t="s">
        <v>20</v>
      </c>
      <c r="B24" s="42">
        <v>48686</v>
      </c>
      <c r="C24" s="25">
        <v>310</v>
      </c>
      <c r="D24" s="25">
        <f t="shared" si="8"/>
        <v>48376</v>
      </c>
      <c r="E24" s="26">
        <f>8942-7276</f>
        <v>1666</v>
      </c>
      <c r="F24" s="27">
        <v>0</v>
      </c>
      <c r="G24" s="25">
        <f t="shared" si="9"/>
        <v>1666</v>
      </c>
      <c r="H24" s="25">
        <f t="shared" si="10"/>
        <v>50352</v>
      </c>
      <c r="I24" s="25">
        <f t="shared" si="11"/>
        <v>310</v>
      </c>
      <c r="J24" s="25">
        <f t="shared" si="12"/>
        <v>50042</v>
      </c>
      <c r="K24" s="25">
        <f t="shared" si="13"/>
        <v>39670</v>
      </c>
      <c r="L24" s="25">
        <f t="shared" si="14"/>
        <v>310</v>
      </c>
      <c r="M24" s="25">
        <f t="shared" si="15"/>
        <v>39360</v>
      </c>
      <c r="N24" s="28">
        <v>10682</v>
      </c>
      <c r="O24" s="27">
        <v>0</v>
      </c>
      <c r="P24" s="29">
        <f t="shared" si="16"/>
        <v>10682</v>
      </c>
      <c r="Q24" s="28">
        <v>46071</v>
      </c>
      <c r="R24" s="30">
        <v>35377</v>
      </c>
      <c r="S24" s="27"/>
      <c r="T24" s="22"/>
    </row>
    <row r="25" spans="1:20" ht="12.75">
      <c r="A25" s="17" t="s">
        <v>3</v>
      </c>
      <c r="B25" s="39">
        <v>2372319</v>
      </c>
      <c r="C25" s="39">
        <v>41766</v>
      </c>
      <c r="D25" s="18">
        <f t="shared" si="8"/>
        <v>2330553</v>
      </c>
      <c r="E25" s="32">
        <f>E26</f>
        <v>150932</v>
      </c>
      <c r="F25" s="33">
        <f>F26</f>
        <v>0</v>
      </c>
      <c r="G25" s="18">
        <f t="shared" si="9"/>
        <v>150932</v>
      </c>
      <c r="H25" s="18">
        <f t="shared" si="10"/>
        <v>2523251</v>
      </c>
      <c r="I25" s="18">
        <f t="shared" si="11"/>
        <v>41766</v>
      </c>
      <c r="J25" s="18">
        <f t="shared" si="12"/>
        <v>2481485</v>
      </c>
      <c r="K25" s="18">
        <f t="shared" si="13"/>
        <v>2563439</v>
      </c>
      <c r="L25" s="18">
        <f t="shared" si="14"/>
        <v>74418</v>
      </c>
      <c r="M25" s="18">
        <f t="shared" si="15"/>
        <v>2489021</v>
      </c>
      <c r="N25" s="21">
        <f>N26</f>
        <v>-40188</v>
      </c>
      <c r="O25" s="33">
        <f>O26</f>
        <v>-32652</v>
      </c>
      <c r="P25" s="22">
        <f t="shared" si="16"/>
        <v>-7536</v>
      </c>
      <c r="Q25" s="21">
        <f>Q26</f>
        <v>2009612</v>
      </c>
      <c r="R25" s="23">
        <f>R26</f>
        <v>2043207</v>
      </c>
      <c r="S25" s="27"/>
      <c r="T25" s="22">
        <f>S25-R25</f>
        <v>-2043207</v>
      </c>
    </row>
    <row r="26" spans="1:20" ht="12.75">
      <c r="A26" s="24" t="s">
        <v>21</v>
      </c>
      <c r="B26" s="42">
        <v>2372319</v>
      </c>
      <c r="C26" s="25">
        <v>41766</v>
      </c>
      <c r="D26" s="25">
        <f t="shared" si="8"/>
        <v>2330553</v>
      </c>
      <c r="E26" s="26">
        <f>221497-73875+3310</f>
        <v>150932</v>
      </c>
      <c r="F26" s="27">
        <v>0</v>
      </c>
      <c r="G26" s="25">
        <f t="shared" si="9"/>
        <v>150932</v>
      </c>
      <c r="H26" s="25">
        <f t="shared" si="10"/>
        <v>2523251</v>
      </c>
      <c r="I26" s="25">
        <f t="shared" si="11"/>
        <v>41766</v>
      </c>
      <c r="J26" s="25">
        <f t="shared" si="12"/>
        <v>2481485</v>
      </c>
      <c r="K26" s="25">
        <f t="shared" si="13"/>
        <v>2563439</v>
      </c>
      <c r="L26" s="25">
        <f t="shared" si="14"/>
        <v>74418</v>
      </c>
      <c r="M26" s="25">
        <f t="shared" si="15"/>
        <v>2489021</v>
      </c>
      <c r="N26" s="28">
        <v>-40188</v>
      </c>
      <c r="O26" s="27">
        <v>-32652</v>
      </c>
      <c r="P26" s="29">
        <f t="shared" si="16"/>
        <v>-7536</v>
      </c>
      <c r="Q26" s="28">
        <v>2009612</v>
      </c>
      <c r="R26" s="30">
        <v>2043207</v>
      </c>
      <c r="S26" s="27"/>
      <c r="T26" s="22"/>
    </row>
    <row r="27" spans="1:20" ht="12.75">
      <c r="A27" s="31" t="s">
        <v>6</v>
      </c>
      <c r="B27" s="39">
        <v>570750</v>
      </c>
      <c r="C27" s="18">
        <v>57085</v>
      </c>
      <c r="D27" s="18">
        <f t="shared" si="8"/>
        <v>513665</v>
      </c>
      <c r="E27" s="32">
        <f>E28+E29+E30</f>
        <v>108043</v>
      </c>
      <c r="F27" s="33">
        <f>F28+F29+F30</f>
        <v>0</v>
      </c>
      <c r="G27" s="18">
        <f t="shared" si="9"/>
        <v>108043</v>
      </c>
      <c r="H27" s="18">
        <f t="shared" si="10"/>
        <v>678793</v>
      </c>
      <c r="I27" s="18">
        <f t="shared" si="11"/>
        <v>57085</v>
      </c>
      <c r="J27" s="18">
        <f t="shared" si="12"/>
        <v>621708</v>
      </c>
      <c r="K27" s="18">
        <f t="shared" si="13"/>
        <v>673412</v>
      </c>
      <c r="L27" s="18">
        <f t="shared" si="14"/>
        <v>51486</v>
      </c>
      <c r="M27" s="18">
        <f t="shared" si="15"/>
        <v>621926</v>
      </c>
      <c r="N27" s="21">
        <f>N28+N29+N30</f>
        <v>5381</v>
      </c>
      <c r="O27" s="33">
        <f>O28+O29+O30</f>
        <v>5599</v>
      </c>
      <c r="P27" s="22">
        <f t="shared" si="16"/>
        <v>-218</v>
      </c>
      <c r="Q27" s="21">
        <f>Q28+Q29+Q30</f>
        <v>453267</v>
      </c>
      <c r="R27" s="23">
        <f>R28+R29+R30</f>
        <v>372707</v>
      </c>
      <c r="S27" s="27"/>
      <c r="T27" s="22">
        <f>S27-R27</f>
        <v>-372707</v>
      </c>
    </row>
    <row r="28" spans="1:20" ht="12.75">
      <c r="A28" s="43" t="s">
        <v>21</v>
      </c>
      <c r="B28" s="42">
        <v>449719</v>
      </c>
      <c r="C28" s="25">
        <v>50595</v>
      </c>
      <c r="D28" s="25">
        <f t="shared" si="8"/>
        <v>399124</v>
      </c>
      <c r="E28" s="26">
        <f>45742+30108+2629</f>
        <v>78479</v>
      </c>
      <c r="F28" s="27">
        <v>0</v>
      </c>
      <c r="G28" s="25">
        <f t="shared" si="9"/>
        <v>78479</v>
      </c>
      <c r="H28" s="25">
        <f t="shared" si="10"/>
        <v>528198</v>
      </c>
      <c r="I28" s="25">
        <f t="shared" si="11"/>
        <v>50595</v>
      </c>
      <c r="J28" s="25">
        <f t="shared" si="12"/>
        <v>477603</v>
      </c>
      <c r="K28" s="25">
        <f t="shared" si="13"/>
        <v>524601</v>
      </c>
      <c r="L28" s="25">
        <f t="shared" si="14"/>
        <v>43785</v>
      </c>
      <c r="M28" s="25">
        <f t="shared" si="15"/>
        <v>480816</v>
      </c>
      <c r="N28" s="28">
        <v>3597</v>
      </c>
      <c r="O28" s="27">
        <v>6810</v>
      </c>
      <c r="P28" s="29">
        <f>N28-O28</f>
        <v>-3213</v>
      </c>
      <c r="Q28" s="28">
        <v>362460</v>
      </c>
      <c r="R28" s="30">
        <v>315805</v>
      </c>
      <c r="S28" s="27"/>
      <c r="T28" s="22"/>
    </row>
    <row r="29" spans="1:20" ht="12.75">
      <c r="A29" s="43" t="s">
        <v>27</v>
      </c>
      <c r="B29" s="42">
        <v>8565</v>
      </c>
      <c r="C29" s="25">
        <v>0</v>
      </c>
      <c r="D29" s="25">
        <f t="shared" si="8"/>
        <v>8565</v>
      </c>
      <c r="E29" s="26">
        <f>22-536</f>
        <v>-514</v>
      </c>
      <c r="F29" s="27">
        <v>0</v>
      </c>
      <c r="G29" s="25">
        <f t="shared" si="9"/>
        <v>-514</v>
      </c>
      <c r="H29" s="25">
        <f t="shared" si="10"/>
        <v>8051</v>
      </c>
      <c r="I29" s="25">
        <f t="shared" si="11"/>
        <v>0</v>
      </c>
      <c r="J29" s="25">
        <f t="shared" si="12"/>
        <v>8051</v>
      </c>
      <c r="K29" s="25">
        <f aca="true" t="shared" si="17" ref="K29:L36">H29-N29</f>
        <v>8396</v>
      </c>
      <c r="L29" s="25">
        <f t="shared" si="17"/>
        <v>0</v>
      </c>
      <c r="M29" s="25">
        <f t="shared" si="15"/>
        <v>8396</v>
      </c>
      <c r="N29" s="28">
        <v>-345</v>
      </c>
      <c r="O29" s="27">
        <v>0</v>
      </c>
      <c r="P29" s="29">
        <f>N29-O29</f>
        <v>-345</v>
      </c>
      <c r="Q29" s="28">
        <v>6443</v>
      </c>
      <c r="R29" s="30">
        <v>6187</v>
      </c>
      <c r="S29" s="27"/>
      <c r="T29" s="22"/>
    </row>
    <row r="30" spans="1:20" ht="12.75">
      <c r="A30" s="24" t="s">
        <v>20</v>
      </c>
      <c r="B30" s="42">
        <v>112466</v>
      </c>
      <c r="C30" s="25">
        <v>6490</v>
      </c>
      <c r="D30" s="25">
        <f t="shared" si="8"/>
        <v>105976</v>
      </c>
      <c r="E30" s="26">
        <f>17+30061</f>
        <v>30078</v>
      </c>
      <c r="F30" s="27">
        <v>0</v>
      </c>
      <c r="G30" s="25">
        <f aca="true" t="shared" si="18" ref="G30:G36">E30-F30</f>
        <v>30078</v>
      </c>
      <c r="H30" s="25">
        <f t="shared" si="10"/>
        <v>142544</v>
      </c>
      <c r="I30" s="25">
        <f t="shared" si="11"/>
        <v>6490</v>
      </c>
      <c r="J30" s="25">
        <f t="shared" si="12"/>
        <v>136054</v>
      </c>
      <c r="K30" s="25">
        <f t="shared" si="17"/>
        <v>140415</v>
      </c>
      <c r="L30" s="25">
        <f t="shared" si="17"/>
        <v>7701</v>
      </c>
      <c r="M30" s="25">
        <f aca="true" t="shared" si="19" ref="M30:M36">J30-P30</f>
        <v>132714</v>
      </c>
      <c r="N30" s="28">
        <v>2129</v>
      </c>
      <c r="O30" s="27">
        <v>-1211</v>
      </c>
      <c r="P30" s="29">
        <f aca="true" t="shared" si="20" ref="P30:P36">N30-O30</f>
        <v>3340</v>
      </c>
      <c r="Q30" s="28">
        <v>84364</v>
      </c>
      <c r="R30" s="30">
        <v>50715</v>
      </c>
      <c r="S30" s="27"/>
      <c r="T30" s="22"/>
    </row>
    <row r="31" spans="1:20" ht="12.75">
      <c r="A31" s="17" t="s">
        <v>28</v>
      </c>
      <c r="B31" s="39">
        <v>199987</v>
      </c>
      <c r="C31" s="39">
        <v>65</v>
      </c>
      <c r="D31" s="18">
        <f t="shared" si="8"/>
        <v>199922</v>
      </c>
      <c r="E31" s="32">
        <f>E32+E33</f>
        <v>7825</v>
      </c>
      <c r="F31" s="33">
        <f>F32+F33</f>
        <v>0</v>
      </c>
      <c r="G31" s="18">
        <f t="shared" si="18"/>
        <v>7825</v>
      </c>
      <c r="H31" s="18">
        <f t="shared" si="10"/>
        <v>207812</v>
      </c>
      <c r="I31" s="18">
        <f t="shared" si="11"/>
        <v>65</v>
      </c>
      <c r="J31" s="18">
        <f t="shared" si="12"/>
        <v>207747</v>
      </c>
      <c r="K31" s="18">
        <f t="shared" si="17"/>
        <v>197308</v>
      </c>
      <c r="L31" s="18">
        <f t="shared" si="17"/>
        <v>65</v>
      </c>
      <c r="M31" s="18">
        <f t="shared" si="19"/>
        <v>197243</v>
      </c>
      <c r="N31" s="21">
        <f>N32+N33</f>
        <v>10504</v>
      </c>
      <c r="O31" s="33">
        <f>O32+O33</f>
        <v>0</v>
      </c>
      <c r="P31" s="22">
        <f t="shared" si="20"/>
        <v>10504</v>
      </c>
      <c r="Q31" s="21">
        <f>Q32+Q33</f>
        <v>159690</v>
      </c>
      <c r="R31" s="23">
        <f>R32+R33</f>
        <v>141050</v>
      </c>
      <c r="S31" s="27"/>
      <c r="T31" s="22">
        <f>S31-R31</f>
        <v>-141050</v>
      </c>
    </row>
    <row r="32" spans="1:20" ht="12.75">
      <c r="A32" s="24" t="s">
        <v>21</v>
      </c>
      <c r="B32" s="42">
        <v>5821</v>
      </c>
      <c r="C32" s="25">
        <v>0</v>
      </c>
      <c r="D32" s="25">
        <f t="shared" si="8"/>
        <v>5821</v>
      </c>
      <c r="E32" s="26">
        <f>15+441</f>
        <v>456</v>
      </c>
      <c r="F32" s="27">
        <v>0</v>
      </c>
      <c r="G32" s="25">
        <f t="shared" si="18"/>
        <v>456</v>
      </c>
      <c r="H32" s="25">
        <f t="shared" si="10"/>
        <v>6277</v>
      </c>
      <c r="I32" s="25">
        <f t="shared" si="11"/>
        <v>0</v>
      </c>
      <c r="J32" s="25">
        <f t="shared" si="12"/>
        <v>6277</v>
      </c>
      <c r="K32" s="25">
        <f t="shared" si="17"/>
        <v>6188</v>
      </c>
      <c r="L32" s="25">
        <f t="shared" si="17"/>
        <v>0</v>
      </c>
      <c r="M32" s="25">
        <f t="shared" si="19"/>
        <v>6188</v>
      </c>
      <c r="N32" s="28">
        <v>89</v>
      </c>
      <c r="O32" s="27">
        <v>0</v>
      </c>
      <c r="P32" s="29">
        <f t="shared" si="20"/>
        <v>89</v>
      </c>
      <c r="Q32" s="28">
        <v>4378</v>
      </c>
      <c r="R32" s="30">
        <v>4153</v>
      </c>
      <c r="S32" s="27"/>
      <c r="T32" s="22"/>
    </row>
    <row r="33" spans="1:20" ht="12.75">
      <c r="A33" s="24" t="s">
        <v>27</v>
      </c>
      <c r="B33" s="42">
        <v>194166</v>
      </c>
      <c r="C33" s="25">
        <v>65</v>
      </c>
      <c r="D33" s="25">
        <f t="shared" si="8"/>
        <v>194101</v>
      </c>
      <c r="E33" s="26">
        <f>15200-7831</f>
        <v>7369</v>
      </c>
      <c r="F33" s="27">
        <v>0</v>
      </c>
      <c r="G33" s="25">
        <f t="shared" si="18"/>
        <v>7369</v>
      </c>
      <c r="H33" s="25">
        <f t="shared" si="10"/>
        <v>201535</v>
      </c>
      <c r="I33" s="25">
        <f t="shared" si="11"/>
        <v>65</v>
      </c>
      <c r="J33" s="25">
        <f t="shared" si="12"/>
        <v>201470</v>
      </c>
      <c r="K33" s="25">
        <f t="shared" si="17"/>
        <v>191120</v>
      </c>
      <c r="L33" s="25">
        <f t="shared" si="17"/>
        <v>65</v>
      </c>
      <c r="M33" s="25">
        <f t="shared" si="19"/>
        <v>191055</v>
      </c>
      <c r="N33" s="28">
        <v>10415</v>
      </c>
      <c r="O33" s="27">
        <v>0</v>
      </c>
      <c r="P33" s="29">
        <f t="shared" si="20"/>
        <v>10415</v>
      </c>
      <c r="Q33" s="28">
        <v>155312</v>
      </c>
      <c r="R33" s="30">
        <v>136897</v>
      </c>
      <c r="S33" s="27"/>
      <c r="T33" s="22"/>
    </row>
    <row r="34" spans="1:20" ht="12.75">
      <c r="A34" s="31" t="s">
        <v>29</v>
      </c>
      <c r="B34" s="39">
        <v>7608</v>
      </c>
      <c r="C34" s="18">
        <v>0</v>
      </c>
      <c r="D34" s="18">
        <f t="shared" si="8"/>
        <v>7608</v>
      </c>
      <c r="E34" s="32">
        <f>E35+E36</f>
        <v>4411</v>
      </c>
      <c r="F34" s="33">
        <f>F35+F36</f>
        <v>0</v>
      </c>
      <c r="G34" s="44">
        <f t="shared" si="18"/>
        <v>4411</v>
      </c>
      <c r="H34" s="18">
        <f t="shared" si="10"/>
        <v>12019</v>
      </c>
      <c r="I34" s="18">
        <f t="shared" si="11"/>
        <v>0</v>
      </c>
      <c r="J34" s="18">
        <f t="shared" si="12"/>
        <v>12019</v>
      </c>
      <c r="K34" s="18">
        <f t="shared" si="17"/>
        <v>12069</v>
      </c>
      <c r="L34" s="18">
        <f t="shared" si="17"/>
        <v>0</v>
      </c>
      <c r="M34" s="18">
        <f t="shared" si="19"/>
        <v>12069</v>
      </c>
      <c r="N34" s="21">
        <f>N35+N36</f>
        <v>-50</v>
      </c>
      <c r="O34" s="33">
        <f>O35+O36</f>
        <v>0</v>
      </c>
      <c r="P34" s="45">
        <f t="shared" si="20"/>
        <v>-50</v>
      </c>
      <c r="Q34" s="21">
        <f>Q35+Q36</f>
        <v>5713</v>
      </c>
      <c r="R34" s="23">
        <f>R35+R36</f>
        <v>7494</v>
      </c>
      <c r="S34" s="27"/>
      <c r="T34" s="45">
        <f>S34-R34</f>
        <v>-7494</v>
      </c>
    </row>
    <row r="35" spans="1:20" ht="12.75">
      <c r="A35" s="24" t="s">
        <v>21</v>
      </c>
      <c r="B35" s="46">
        <v>6639</v>
      </c>
      <c r="C35" s="47">
        <v>0</v>
      </c>
      <c r="D35" s="48">
        <f t="shared" si="8"/>
        <v>6639</v>
      </c>
      <c r="E35" s="49">
        <f>9+4407</f>
        <v>4416</v>
      </c>
      <c r="F35" s="50">
        <v>0</v>
      </c>
      <c r="G35" s="72">
        <f t="shared" si="18"/>
        <v>4416</v>
      </c>
      <c r="H35" s="47">
        <f t="shared" si="10"/>
        <v>11055</v>
      </c>
      <c r="I35" s="47">
        <f t="shared" si="11"/>
        <v>0</v>
      </c>
      <c r="J35" s="47">
        <f t="shared" si="12"/>
        <v>11055</v>
      </c>
      <c r="K35" s="47">
        <f t="shared" si="17"/>
        <v>11093</v>
      </c>
      <c r="L35" s="47">
        <f t="shared" si="17"/>
        <v>0</v>
      </c>
      <c r="M35" s="70">
        <f t="shared" si="19"/>
        <v>11093</v>
      </c>
      <c r="N35" s="51">
        <v>-38</v>
      </c>
      <c r="O35" s="50">
        <v>0</v>
      </c>
      <c r="P35" s="73">
        <f t="shared" si="20"/>
        <v>-38</v>
      </c>
      <c r="Q35" s="51">
        <v>4986</v>
      </c>
      <c r="R35" s="50">
        <v>7494</v>
      </c>
      <c r="S35" s="27"/>
      <c r="T35" s="45"/>
    </row>
    <row r="36" spans="1:20" ht="12.75">
      <c r="A36" s="24" t="s">
        <v>20</v>
      </c>
      <c r="B36" s="42">
        <v>969</v>
      </c>
      <c r="C36" s="25">
        <v>0</v>
      </c>
      <c r="D36" s="25">
        <f t="shared" si="8"/>
        <v>969</v>
      </c>
      <c r="E36" s="34">
        <f>0-5</f>
        <v>-5</v>
      </c>
      <c r="F36" s="35">
        <v>0</v>
      </c>
      <c r="G36" s="25">
        <f t="shared" si="18"/>
        <v>-5</v>
      </c>
      <c r="H36" s="25">
        <f t="shared" si="10"/>
        <v>964</v>
      </c>
      <c r="I36" s="25">
        <f t="shared" si="11"/>
        <v>0</v>
      </c>
      <c r="J36" s="25">
        <f t="shared" si="12"/>
        <v>964</v>
      </c>
      <c r="K36" s="25">
        <f t="shared" si="17"/>
        <v>976</v>
      </c>
      <c r="L36" s="25">
        <f t="shared" si="17"/>
        <v>0</v>
      </c>
      <c r="M36" s="25">
        <f t="shared" si="19"/>
        <v>976</v>
      </c>
      <c r="N36" s="52">
        <v>-12</v>
      </c>
      <c r="O36" s="53">
        <v>0</v>
      </c>
      <c r="P36" s="36">
        <f t="shared" si="20"/>
        <v>-12</v>
      </c>
      <c r="Q36" s="52">
        <v>727</v>
      </c>
      <c r="R36" s="53">
        <v>0</v>
      </c>
      <c r="S36" s="53"/>
      <c r="T36" s="36"/>
    </row>
    <row r="37" spans="1:20" ht="12.75">
      <c r="A37" s="37" t="s">
        <v>30</v>
      </c>
      <c r="B37" s="38">
        <f aca="true" t="shared" si="21" ref="B37:T37">B38</f>
        <v>378334</v>
      </c>
      <c r="C37" s="38">
        <f t="shared" si="21"/>
        <v>0</v>
      </c>
      <c r="D37" s="38">
        <f t="shared" si="21"/>
        <v>378334</v>
      </c>
      <c r="E37" s="38">
        <f t="shared" si="21"/>
        <v>-18943</v>
      </c>
      <c r="F37" s="38">
        <f t="shared" si="21"/>
        <v>0</v>
      </c>
      <c r="G37" s="38">
        <f t="shared" si="21"/>
        <v>-18943</v>
      </c>
      <c r="H37" s="38">
        <f t="shared" si="21"/>
        <v>359391</v>
      </c>
      <c r="I37" s="38">
        <f t="shared" si="21"/>
        <v>0</v>
      </c>
      <c r="J37" s="38">
        <f t="shared" si="21"/>
        <v>359391</v>
      </c>
      <c r="K37" s="38">
        <f t="shared" si="21"/>
        <v>155532</v>
      </c>
      <c r="L37" s="38">
        <f t="shared" si="21"/>
        <v>0</v>
      </c>
      <c r="M37" s="38">
        <f t="shared" si="21"/>
        <v>155532</v>
      </c>
      <c r="N37" s="38">
        <f t="shared" si="21"/>
        <v>203859</v>
      </c>
      <c r="O37" s="38">
        <f t="shared" si="21"/>
        <v>0</v>
      </c>
      <c r="P37" s="38">
        <f t="shared" si="21"/>
        <v>203859</v>
      </c>
      <c r="Q37" s="38">
        <f t="shared" si="21"/>
        <v>124454</v>
      </c>
      <c r="R37" s="38">
        <f t="shared" si="21"/>
        <v>9637</v>
      </c>
      <c r="S37" s="38">
        <f t="shared" si="21"/>
        <v>0</v>
      </c>
      <c r="T37" s="38">
        <f t="shared" si="21"/>
        <v>-9637</v>
      </c>
    </row>
    <row r="38" spans="1:20" ht="12.75">
      <c r="A38" s="17" t="s">
        <v>30</v>
      </c>
      <c r="B38" s="39">
        <v>378334</v>
      </c>
      <c r="C38" s="18">
        <v>0</v>
      </c>
      <c r="D38" s="18">
        <f>B38-C38</f>
        <v>378334</v>
      </c>
      <c r="E38" s="19">
        <f>E39+E40</f>
        <v>-18943</v>
      </c>
      <c r="F38" s="20">
        <f>F39+F40</f>
        <v>0</v>
      </c>
      <c r="G38" s="18">
        <f>E38-F38</f>
        <v>-18943</v>
      </c>
      <c r="H38" s="18">
        <f aca="true" t="shared" si="22" ref="H38:I40">B38+E38</f>
        <v>359391</v>
      </c>
      <c r="I38" s="18">
        <f t="shared" si="22"/>
        <v>0</v>
      </c>
      <c r="J38" s="18">
        <f>H38-I38</f>
        <v>359391</v>
      </c>
      <c r="K38" s="18">
        <f aca="true" t="shared" si="23" ref="K38:M40">H38-N38</f>
        <v>155532</v>
      </c>
      <c r="L38" s="18">
        <f t="shared" si="23"/>
        <v>0</v>
      </c>
      <c r="M38" s="18">
        <f t="shared" si="23"/>
        <v>155532</v>
      </c>
      <c r="N38" s="21">
        <f>N39+N40</f>
        <v>203859</v>
      </c>
      <c r="O38" s="20">
        <f>O39+O40</f>
        <v>0</v>
      </c>
      <c r="P38" s="22">
        <f>N38-O38</f>
        <v>203859</v>
      </c>
      <c r="Q38" s="40">
        <f>Q39+Q40</f>
        <v>124454</v>
      </c>
      <c r="R38" s="41">
        <f>R39+R40</f>
        <v>9637</v>
      </c>
      <c r="S38" s="20"/>
      <c r="T38" s="22">
        <f>S38-R38</f>
        <v>-9637</v>
      </c>
    </row>
    <row r="39" spans="1:20" ht="12.75">
      <c r="A39" s="24" t="s">
        <v>21</v>
      </c>
      <c r="B39" s="42">
        <v>285543</v>
      </c>
      <c r="C39" s="25">
        <v>0</v>
      </c>
      <c r="D39" s="25">
        <f>B39-C39</f>
        <v>285543</v>
      </c>
      <c r="E39" s="26">
        <v>-109132</v>
      </c>
      <c r="F39" s="27">
        <v>0</v>
      </c>
      <c r="G39" s="25">
        <f>E39-F39</f>
        <v>-109132</v>
      </c>
      <c r="H39" s="25">
        <f t="shared" si="22"/>
        <v>176411</v>
      </c>
      <c r="I39" s="25">
        <f t="shared" si="22"/>
        <v>0</v>
      </c>
      <c r="J39" s="25">
        <f>H39-I39</f>
        <v>176411</v>
      </c>
      <c r="K39" s="25">
        <f t="shared" si="23"/>
        <v>118228</v>
      </c>
      <c r="L39" s="25">
        <f t="shared" si="23"/>
        <v>0</v>
      </c>
      <c r="M39" s="25">
        <f t="shared" si="23"/>
        <v>118228</v>
      </c>
      <c r="N39" s="28">
        <v>58183</v>
      </c>
      <c r="O39" s="27">
        <v>0</v>
      </c>
      <c r="P39" s="29">
        <f>N39-O39</f>
        <v>58183</v>
      </c>
      <c r="Q39" s="28">
        <v>75195</v>
      </c>
      <c r="R39" s="30">
        <v>7750</v>
      </c>
      <c r="S39" s="27"/>
      <c r="T39" s="22"/>
    </row>
    <row r="40" spans="1:20" ht="12.75">
      <c r="A40" s="24" t="s">
        <v>20</v>
      </c>
      <c r="B40" s="42">
        <v>92791</v>
      </c>
      <c r="C40" s="25">
        <v>0</v>
      </c>
      <c r="D40" s="25">
        <f>B40-C40</f>
        <v>92791</v>
      </c>
      <c r="E40" s="26">
        <v>90189</v>
      </c>
      <c r="F40" s="27">
        <v>0</v>
      </c>
      <c r="G40" s="25">
        <f>E40-F40</f>
        <v>90189</v>
      </c>
      <c r="H40" s="25">
        <f t="shared" si="22"/>
        <v>182980</v>
      </c>
      <c r="I40" s="25">
        <f t="shared" si="22"/>
        <v>0</v>
      </c>
      <c r="J40" s="25">
        <f>H40-I40</f>
        <v>182980</v>
      </c>
      <c r="K40" s="25">
        <f t="shared" si="23"/>
        <v>37304</v>
      </c>
      <c r="L40" s="25">
        <f t="shared" si="23"/>
        <v>0</v>
      </c>
      <c r="M40" s="25">
        <f t="shared" si="23"/>
        <v>37304</v>
      </c>
      <c r="N40" s="28">
        <v>145676</v>
      </c>
      <c r="O40" s="27">
        <v>0</v>
      </c>
      <c r="P40" s="29">
        <f>N40-O40</f>
        <v>145676</v>
      </c>
      <c r="Q40" s="28">
        <v>49259</v>
      </c>
      <c r="R40" s="30">
        <v>1887</v>
      </c>
      <c r="S40" s="27"/>
      <c r="T40" s="22"/>
    </row>
    <row r="41" spans="1:20" ht="12.75">
      <c r="A41" s="37" t="s">
        <v>31</v>
      </c>
      <c r="B41" s="38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4"/>
      <c r="R41" s="54"/>
      <c r="S41" s="54"/>
      <c r="T41" s="56"/>
    </row>
    <row r="42" spans="1:20" ht="12.75">
      <c r="A42" s="37"/>
      <c r="B42" s="38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4"/>
      <c r="P42" s="56"/>
      <c r="Q42" s="54"/>
      <c r="R42" s="54"/>
      <c r="S42" s="54"/>
      <c r="T42" s="56"/>
    </row>
    <row r="43" spans="1:20" ht="12.75">
      <c r="A43" s="37" t="s">
        <v>4</v>
      </c>
      <c r="B43" s="54">
        <f aca="true" t="shared" si="24" ref="B43:T43">B44</f>
        <v>5412</v>
      </c>
      <c r="C43" s="54">
        <f t="shared" si="24"/>
        <v>3295</v>
      </c>
      <c r="D43" s="54">
        <f t="shared" si="24"/>
        <v>2117</v>
      </c>
      <c r="E43" s="54">
        <f t="shared" si="24"/>
        <v>0</v>
      </c>
      <c r="F43" s="54">
        <f t="shared" si="24"/>
        <v>0</v>
      </c>
      <c r="G43" s="54">
        <f t="shared" si="24"/>
        <v>0</v>
      </c>
      <c r="H43" s="54">
        <f t="shared" si="24"/>
        <v>5412</v>
      </c>
      <c r="I43" s="54">
        <f t="shared" si="24"/>
        <v>3295</v>
      </c>
      <c r="J43" s="54">
        <f t="shared" si="24"/>
        <v>2117</v>
      </c>
      <c r="K43" s="54">
        <f t="shared" si="24"/>
        <v>5412</v>
      </c>
      <c r="L43" s="54">
        <f t="shared" si="24"/>
        <v>3295</v>
      </c>
      <c r="M43" s="54">
        <f t="shared" si="24"/>
        <v>2117</v>
      </c>
      <c r="N43" s="55">
        <f t="shared" si="24"/>
        <v>0</v>
      </c>
      <c r="O43" s="54">
        <f t="shared" si="24"/>
        <v>0</v>
      </c>
      <c r="P43" s="56">
        <f t="shared" si="24"/>
        <v>0</v>
      </c>
      <c r="Q43" s="54">
        <f t="shared" si="24"/>
        <v>1992</v>
      </c>
      <c r="R43" s="54">
        <f t="shared" si="24"/>
        <v>-3501476</v>
      </c>
      <c r="S43" s="54">
        <f t="shared" si="24"/>
        <v>0</v>
      </c>
      <c r="T43" s="56">
        <f t="shared" si="24"/>
        <v>3501476</v>
      </c>
    </row>
    <row r="44" spans="1:20" ht="12.75">
      <c r="A44" s="17" t="s">
        <v>4</v>
      </c>
      <c r="B44" s="18">
        <v>5412</v>
      </c>
      <c r="C44" s="18">
        <v>3295</v>
      </c>
      <c r="D44" s="18">
        <f>B44-C44</f>
        <v>2117</v>
      </c>
      <c r="E44" s="57">
        <v>0</v>
      </c>
      <c r="F44" s="58">
        <v>0</v>
      </c>
      <c r="G44" s="18">
        <f>E44-F44</f>
        <v>0</v>
      </c>
      <c r="H44" s="18">
        <f>B44+E44</f>
        <v>5412</v>
      </c>
      <c r="I44" s="18">
        <f>C44+F44</f>
        <v>3295</v>
      </c>
      <c r="J44" s="18">
        <f>H44-I44</f>
        <v>2117</v>
      </c>
      <c r="K44" s="18">
        <f>H44-N44</f>
        <v>5412</v>
      </c>
      <c r="L44" s="18">
        <f>I44-O44</f>
        <v>3295</v>
      </c>
      <c r="M44" s="18">
        <f>J44-P44</f>
        <v>2117</v>
      </c>
      <c r="N44" s="59">
        <v>0</v>
      </c>
      <c r="O44" s="58">
        <v>0</v>
      </c>
      <c r="P44" s="22">
        <f>N44-O44</f>
        <v>0</v>
      </c>
      <c r="Q44" s="59">
        <v>1992</v>
      </c>
      <c r="R44" s="60">
        <v>-3501476</v>
      </c>
      <c r="S44" s="58"/>
      <c r="T44" s="22">
        <f>S44-R44</f>
        <v>3501476</v>
      </c>
    </row>
    <row r="45" spans="1:20" ht="13.5" thickBo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61"/>
      <c r="O45" s="18"/>
      <c r="P45" s="22"/>
      <c r="Q45" s="18"/>
      <c r="R45" s="18"/>
      <c r="S45" s="18"/>
      <c r="T45" s="22"/>
    </row>
    <row r="46" spans="1:20" ht="13.5" thickBot="1">
      <c r="A46" s="62" t="s">
        <v>32</v>
      </c>
      <c r="B46" s="63">
        <v>8520096</v>
      </c>
      <c r="C46" s="63">
        <v>1227990</v>
      </c>
      <c r="D46" s="63">
        <f>B46-C46</f>
        <v>7292106</v>
      </c>
      <c r="E46" s="64">
        <f>E5+E12+E37+E43</f>
        <v>441831</v>
      </c>
      <c r="F46" s="64">
        <f>F5+F12+F37+F43</f>
        <v>0</v>
      </c>
      <c r="G46" s="63">
        <f>E46-F46</f>
        <v>441831</v>
      </c>
      <c r="H46" s="63">
        <f>B46+E46</f>
        <v>8961927</v>
      </c>
      <c r="I46" s="63">
        <f>C46+F46</f>
        <v>1227990</v>
      </c>
      <c r="J46" s="63">
        <f>H46-I46</f>
        <v>7733937</v>
      </c>
      <c r="K46" s="63">
        <f>H46-N46</f>
        <v>8697476</v>
      </c>
      <c r="L46" s="63">
        <f>I46-O46</f>
        <v>1224330</v>
      </c>
      <c r="M46" s="63">
        <f>J46-P46</f>
        <v>7473146</v>
      </c>
      <c r="N46" s="66">
        <f>N5+N12+N37+N43</f>
        <v>264451</v>
      </c>
      <c r="O46" s="65">
        <f>O5+O12+O37+O43</f>
        <v>3660</v>
      </c>
      <c r="P46" s="67">
        <f>N46-O46</f>
        <v>260791</v>
      </c>
      <c r="Q46" s="68">
        <f>Q5+Q12+Q37+Q43</f>
        <v>5800596</v>
      </c>
      <c r="R46" s="68">
        <f>R5+R12+R37+R43</f>
        <v>1977878</v>
      </c>
      <c r="S46" s="65"/>
      <c r="T46" s="67">
        <f>S46-R46</f>
        <v>-1977878</v>
      </c>
    </row>
    <row r="47" spans="1:20" ht="13.5" thickBot="1">
      <c r="A47" s="7"/>
      <c r="B47" s="69">
        <f aca="true" t="shared" si="25" ref="B47:T47">B46-(B5+B12+B37+B43)</f>
        <v>0</v>
      </c>
      <c r="C47" s="69">
        <f t="shared" si="25"/>
        <v>0</v>
      </c>
      <c r="D47" s="69">
        <f t="shared" si="25"/>
        <v>0</v>
      </c>
      <c r="E47" s="69">
        <f t="shared" si="25"/>
        <v>0</v>
      </c>
      <c r="F47" s="69">
        <f t="shared" si="25"/>
        <v>0</v>
      </c>
      <c r="G47" s="69">
        <f t="shared" si="25"/>
        <v>0</v>
      </c>
      <c r="H47" s="69">
        <f t="shared" si="25"/>
        <v>0</v>
      </c>
      <c r="I47" s="69">
        <f t="shared" si="25"/>
        <v>0</v>
      </c>
      <c r="J47" s="69">
        <f t="shared" si="25"/>
        <v>0</v>
      </c>
      <c r="K47" s="69">
        <f t="shared" si="25"/>
        <v>0</v>
      </c>
      <c r="L47" s="69">
        <f t="shared" si="25"/>
        <v>0</v>
      </c>
      <c r="M47" s="69">
        <f t="shared" si="25"/>
        <v>0</v>
      </c>
      <c r="N47" s="69">
        <f t="shared" si="25"/>
        <v>0</v>
      </c>
      <c r="O47" s="69">
        <f t="shared" si="25"/>
        <v>0</v>
      </c>
      <c r="P47" s="69">
        <f t="shared" si="25"/>
        <v>0</v>
      </c>
      <c r="Q47" s="69">
        <f t="shared" si="25"/>
        <v>0</v>
      </c>
      <c r="R47" s="69">
        <f t="shared" si="25"/>
        <v>0</v>
      </c>
      <c r="S47" s="69">
        <f t="shared" si="25"/>
        <v>0</v>
      </c>
      <c r="T47" s="69">
        <f t="shared" si="25"/>
        <v>0</v>
      </c>
    </row>
  </sheetData>
  <mergeCells count="6">
    <mergeCell ref="H3:J3"/>
    <mergeCell ref="K3:M3"/>
    <mergeCell ref="N3:P3"/>
    <mergeCell ref="A1:A2"/>
    <mergeCell ref="B3:D3"/>
    <mergeCell ref="E3:G3"/>
  </mergeCells>
  <conditionalFormatting sqref="B47:T47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61" r:id="rId1"/>
  <headerFooter alignWithMargins="0">
    <oddHeader>&amp;LBilag 4 - Prognoseark pr. oktober</oddHeader>
  </headerFooter>
  <ignoredErrors>
    <ignoredError sqref="E7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2007-10-23T21:57:02Z</cp:lastPrinted>
  <dcterms:created xsi:type="dcterms:W3CDTF">2006-10-05T12:12:15Z</dcterms:created>
  <dcterms:modified xsi:type="dcterms:W3CDTF">2007-10-26T09:27:11Z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