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800" activeTab="0"/>
  </bookViews>
  <sheets>
    <sheet name="Balance 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<sst xmlns="http://schemas.openxmlformats.org/spreadsheetml/2006/main" count="105" uniqueCount="97">
  <si>
    <t>Primo</t>
  </si>
  <si>
    <t>Ultimo</t>
  </si>
  <si>
    <t>Grunde og Bygninger (9.58.81)</t>
  </si>
  <si>
    <t>Tekniske anlæg (9.58.82)</t>
  </si>
  <si>
    <t>Inventar (9.58.83)</t>
  </si>
  <si>
    <t>Aktiver under opførelse (9.58.84)</t>
  </si>
  <si>
    <t>Materielle anlægsaktiver</t>
  </si>
  <si>
    <t>Immaterielle anlægsaktiver</t>
  </si>
  <si>
    <t>Aktier og andelsbeviser mv.v (9.32.21)</t>
  </si>
  <si>
    <t>Andre langfristede tilgodehavender (9.32.22-9.32.27)</t>
  </si>
  <si>
    <t>Udlæg vedr. jordforsyning og forsyningsvirksomheder (9.35.30-9.35.35)</t>
  </si>
  <si>
    <t>Finansielle anlægsaktiver</t>
  </si>
  <si>
    <t>Anlægsaktiver i alt</t>
  </si>
  <si>
    <t>Varebeholdninger (9.65.86)</t>
  </si>
  <si>
    <t>Fysiske anlæg til salg (9.68.87)</t>
  </si>
  <si>
    <t>Tilgodehavender hos staten (9.25.12-9.25.13)</t>
  </si>
  <si>
    <t>Kortfristede tilgodehavender i øvrigt (9.28.14-9.28.19)</t>
  </si>
  <si>
    <t>Tilgodehavender (9.25.12-9.28.19)</t>
  </si>
  <si>
    <t>Værdipapirer: Pantebreve (9.32.20)</t>
  </si>
  <si>
    <t>Likvide beholdninger (9.22.01-9.22.11)</t>
  </si>
  <si>
    <t>Omsætningsaktiver i alt</t>
  </si>
  <si>
    <t>Aktiver i alt</t>
  </si>
  <si>
    <t>Egenkapital (9.75.91-9.75.99)</t>
  </si>
  <si>
    <t>Hensættelser til aktiebeskatning mv.</t>
  </si>
  <si>
    <t>Tjenestemænd</t>
  </si>
  <si>
    <t>Hensatte forpligtigelser (9.72.90)</t>
  </si>
  <si>
    <t>Langfristed gæld (9.55.63-9.55.78)</t>
  </si>
  <si>
    <t>Leasinggæld (9.55.79)</t>
  </si>
  <si>
    <t>Langfristede gældsforpligtelser (9.55.63-9.55.79)</t>
  </si>
  <si>
    <t>Nettogæld vedrørende fonds, legater, deposita (9.38.36-9.48.49)</t>
  </si>
  <si>
    <t>Kassekredit (9.50.50)</t>
  </si>
  <si>
    <t>Kortfristet gæld til staten (9.51.52)</t>
  </si>
  <si>
    <t>Kortfristet gæld i øvrigt (9.52.53-9.52.61)</t>
  </si>
  <si>
    <t>Kortfristede gældsforpligtelser (9.50.50-9.52.62)</t>
  </si>
  <si>
    <t>Gæld i alt</t>
  </si>
  <si>
    <t>Passiver i alt</t>
  </si>
  <si>
    <t xml:space="preserve">Primo </t>
  </si>
  <si>
    <t xml:space="preserve">Grunde og bygninger </t>
  </si>
  <si>
    <t xml:space="preserve">Tekniske anlæg </t>
  </si>
  <si>
    <t xml:space="preserve">Inventar </t>
  </si>
  <si>
    <t xml:space="preserve">Aktiver under opførelse </t>
  </si>
  <si>
    <t xml:space="preserve">Immaterielle anlægsaktiver </t>
  </si>
  <si>
    <t>AKTIVER I ALT</t>
  </si>
  <si>
    <t xml:space="preserve">Egenkapital </t>
  </si>
  <si>
    <t>Hensatte forpligtigelser</t>
  </si>
  <si>
    <t>Kassekredit</t>
  </si>
  <si>
    <t xml:space="preserve">Langfristet gæld </t>
  </si>
  <si>
    <t>PASSIVER I ALT</t>
  </si>
  <si>
    <t>9.58.81</t>
  </si>
  <si>
    <t>9.58.84</t>
  </si>
  <si>
    <t>9.58</t>
  </si>
  <si>
    <t>9.62.85</t>
  </si>
  <si>
    <t>9.62</t>
  </si>
  <si>
    <t>Aktier og andelsbeviser m.v.</t>
  </si>
  <si>
    <t>9.32.21</t>
  </si>
  <si>
    <t>Andre langfristede tilgodehavender</t>
  </si>
  <si>
    <t>9.32.22 - 9.32.27</t>
  </si>
  <si>
    <t>Udlæg vedr. jordforsyning og forsyningsvirksomheder</t>
  </si>
  <si>
    <t>9.32.21-9.32.27 og 9.35</t>
  </si>
  <si>
    <t>-herunder tilgodehavender hos staten</t>
  </si>
  <si>
    <t>Omsætningsaktiver: Varebeholdninger</t>
  </si>
  <si>
    <t>Omsætningsaktiver: Fysiske anlæg til salg</t>
  </si>
  <si>
    <t>Omsætningsaktiver: Tilgodehavender</t>
  </si>
  <si>
    <t>Omsætningsaktiver: Værdipapirer (Pantebreve)</t>
  </si>
  <si>
    <t>Likvide beholdninger</t>
  </si>
  <si>
    <t>-herunder kortfristede tilgodehavender i øvrigt</t>
  </si>
  <si>
    <t>9.25 og 9.28</t>
  </si>
  <si>
    <t>9.65</t>
  </si>
  <si>
    <t>9.68</t>
  </si>
  <si>
    <t>9.58.82</t>
  </si>
  <si>
    <t>9.58.83</t>
  </si>
  <si>
    <t>9.25</t>
  </si>
  <si>
    <t>9.28</t>
  </si>
  <si>
    <t>9.32.20</t>
  </si>
  <si>
    <t>9.22</t>
  </si>
  <si>
    <t>9.35</t>
  </si>
  <si>
    <t>9.75</t>
  </si>
  <si>
    <t>Hensættelser til aktiebeskatning m.v.</t>
  </si>
  <si>
    <t>Ikke-forsikringsdækkede tjenestemandspensioner</t>
  </si>
  <si>
    <t>9.72.90, grp. 001</t>
  </si>
  <si>
    <t>9.72.90, grp. 999</t>
  </si>
  <si>
    <t>9.55.63 - 9.55.78</t>
  </si>
  <si>
    <t>Gæld vedr. finansielt leasede aktiviteter</t>
  </si>
  <si>
    <t>9.55.79</t>
  </si>
  <si>
    <t>Langfristede gældsforpligtelser</t>
  </si>
  <si>
    <t xml:space="preserve">Nettogæld vedrørende fonds, legater, deposita </t>
  </si>
  <si>
    <t>9.38.36 - 9.48.49</t>
  </si>
  <si>
    <t>(Hovedfunktion, funktion - slettes senere)</t>
  </si>
  <si>
    <t>Kortfristet gæld til staten</t>
  </si>
  <si>
    <t>Kortfristet gæld i øvrigt</t>
  </si>
  <si>
    <t>Kortfristede gældsforpligtelser</t>
  </si>
  <si>
    <t>9.50</t>
  </si>
  <si>
    <t>9.51</t>
  </si>
  <si>
    <t>9.52</t>
  </si>
  <si>
    <t>BUF 2007, mill. kr.</t>
  </si>
  <si>
    <t>Børne- og Ungdomsudvalget</t>
  </si>
  <si>
    <t>Bilag 18 - OBR - Balance 2007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</si>
</sst>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0"/>
      <name val="Gill Sans MT"/>
      <family val="2"/>
    </font>
    <font>
      <sz val="10"/>
      <name val="Gill Sans MT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Gill Sans MT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4" fillId="4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164" fontId="1" fillId="0" borderId="12" xfId="15" applyNumberFormat="1" applyFont="1" applyBorder="1" applyAlignment="1">
      <alignment/>
    </xf>
    <xf numFmtId="164" fontId="1" fillId="0" borderId="12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/>
    </xf>
    <xf numFmtId="49" fontId="2" fillId="2" borderId="13" xfId="0" applyNumberFormat="1" applyFont="1" applyFill="1" applyBorder="1" applyAlignment="1">
      <alignment/>
    </xf>
    <xf numFmtId="49" fontId="1" fillId="2" borderId="11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5" borderId="11" xfId="0" applyNumberFormat="1" applyFont="1" applyFill="1" applyBorder="1" applyAlignment="1">
      <alignment/>
    </xf>
    <xf numFmtId="49" fontId="2" fillId="5" borderId="13" xfId="0" applyNumberFormat="1" applyFont="1" applyFill="1" applyBorder="1" applyAlignment="1">
      <alignment/>
    </xf>
    <xf numFmtId="49" fontId="1" fillId="5" borderId="14" xfId="0" applyNumberFormat="1" applyFont="1" applyFill="1" applyBorder="1" applyAlignment="1">
      <alignment/>
    </xf>
    <xf numFmtId="49" fontId="6" fillId="2" borderId="13" xfId="0" applyNumberFormat="1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0" borderId="0" xfId="0" applyBorder="1" applyAlignment="1">
      <alignment/>
    </xf>
    <xf numFmtId="3" fontId="2" fillId="2" borderId="15" xfId="15" applyNumberFormat="1" applyFont="1" applyFill="1" applyBorder="1" applyAlignment="1">
      <alignment/>
    </xf>
    <xf numFmtId="3" fontId="1" fillId="2" borderId="12" xfId="15" applyNumberFormat="1" applyFont="1" applyFill="1" applyBorder="1" applyAlignment="1">
      <alignment/>
    </xf>
    <xf numFmtId="3" fontId="2" fillId="2" borderId="12" xfId="15" applyNumberFormat="1" applyFont="1" applyFill="1" applyBorder="1" applyAlignment="1">
      <alignment/>
    </xf>
    <xf numFmtId="3" fontId="2" fillId="2" borderId="16" xfId="15" applyNumberFormat="1" applyFont="1" applyFill="1" applyBorder="1" applyAlignment="1">
      <alignment/>
    </xf>
    <xf numFmtId="3" fontId="6" fillId="2" borderId="15" xfId="15" applyNumberFormat="1" applyFont="1" applyFill="1" applyBorder="1" applyAlignment="1">
      <alignment/>
    </xf>
    <xf numFmtId="3" fontId="1" fillId="2" borderId="17" xfId="15" applyNumberFormat="1" applyFont="1" applyFill="1" applyBorder="1" applyAlignment="1">
      <alignment/>
    </xf>
    <xf numFmtId="3" fontId="1" fillId="5" borderId="12" xfId="15" applyNumberFormat="1" applyFont="1" applyFill="1" applyBorder="1" applyAlignment="1">
      <alignment/>
    </xf>
    <xf numFmtId="3" fontId="2" fillId="5" borderId="15" xfId="15" applyNumberFormat="1" applyFont="1" applyFill="1" applyBorder="1" applyAlignment="1">
      <alignment/>
    </xf>
    <xf numFmtId="3" fontId="1" fillId="5" borderId="17" xfId="15" applyNumberFormat="1" applyFont="1" applyFill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0" xfId="15" applyNumberFormat="1" applyFont="1" applyFill="1" applyBorder="1" applyAlignment="1">
      <alignment/>
    </xf>
    <xf numFmtId="4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am%20FR&#216;S\Regnskab\Regnskab%202007\OBR\BaLANCER\Balance%20for%20BUF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KK-B"/>
      <sheetName val="KK-D"/>
      <sheetName val="SUF-B"/>
      <sheetName val="SUF-D"/>
    </sheetNames>
    <sheetDataSet>
      <sheetData sheetId="4">
        <row r="2">
          <cell r="E2">
            <v>6720076.99</v>
          </cell>
          <cell r="F2">
            <v>722626.56</v>
          </cell>
          <cell r="G2">
            <v>722626.56</v>
          </cell>
          <cell r="H2">
            <v>7442704</v>
          </cell>
        </row>
        <row r="3">
          <cell r="E3">
            <v>3586586993.47</v>
          </cell>
          <cell r="F3">
            <v>-3156674188.2</v>
          </cell>
          <cell r="G3">
            <v>-3156674188.2</v>
          </cell>
          <cell r="H3">
            <v>429912805</v>
          </cell>
        </row>
        <row r="4">
          <cell r="E4">
            <v>399754.98</v>
          </cell>
          <cell r="F4">
            <v>-399755.08</v>
          </cell>
          <cell r="G4">
            <v>-399755.08</v>
          </cell>
          <cell r="H4">
            <v>0</v>
          </cell>
        </row>
        <row r="5">
          <cell r="E5">
            <v>110667729.13</v>
          </cell>
          <cell r="F5">
            <v>-17780904</v>
          </cell>
          <cell r="G5">
            <v>-17780904</v>
          </cell>
          <cell r="H5">
            <v>92886825</v>
          </cell>
        </row>
        <row r="6">
          <cell r="E6">
            <v>78940007.79</v>
          </cell>
          <cell r="F6">
            <v>-43602949.21</v>
          </cell>
          <cell r="G6">
            <v>-40788884.21</v>
          </cell>
          <cell r="H6">
            <v>35337059</v>
          </cell>
        </row>
        <row r="7">
          <cell r="E7">
            <v>143891.25</v>
          </cell>
          <cell r="F7">
            <v>-222000</v>
          </cell>
          <cell r="G7">
            <v>-222000</v>
          </cell>
          <cell r="H7">
            <v>-78109</v>
          </cell>
        </row>
        <row r="8">
          <cell r="E8">
            <v>146071342.59</v>
          </cell>
          <cell r="F8">
            <v>-100724907.3</v>
          </cell>
          <cell r="G8">
            <v>-100724907.3</v>
          </cell>
          <cell r="H8">
            <v>45346435</v>
          </cell>
        </row>
        <row r="9">
          <cell r="E9">
            <v>222941205.47</v>
          </cell>
          <cell r="F9">
            <v>-13689024.68</v>
          </cell>
          <cell r="G9">
            <v>-13689024.68</v>
          </cell>
          <cell r="H9">
            <v>209252181</v>
          </cell>
        </row>
        <row r="10">
          <cell r="E10">
            <v>-31858221.37</v>
          </cell>
          <cell r="F10">
            <v>35661751.89</v>
          </cell>
          <cell r="G10">
            <v>35661751.89</v>
          </cell>
          <cell r="H10">
            <v>3803531</v>
          </cell>
        </row>
        <row r="11">
          <cell r="E11">
            <v>22663674</v>
          </cell>
          <cell r="F11">
            <v>-4833770</v>
          </cell>
          <cell r="G11">
            <v>-4833770</v>
          </cell>
          <cell r="H11">
            <v>17829904</v>
          </cell>
        </row>
        <row r="12">
          <cell r="E12">
            <v>8043164.12</v>
          </cell>
          <cell r="F12">
            <v>-323760</v>
          </cell>
          <cell r="G12">
            <v>-323760</v>
          </cell>
          <cell r="H12">
            <v>7719404</v>
          </cell>
        </row>
        <row r="13">
          <cell r="E13">
            <v>75000</v>
          </cell>
          <cell r="F13">
            <v>-75000</v>
          </cell>
          <cell r="G13">
            <v>-75000</v>
          </cell>
          <cell r="H13">
            <v>0</v>
          </cell>
        </row>
        <row r="14">
          <cell r="E14">
            <v>-14699002.07</v>
          </cell>
          <cell r="F14">
            <v>542251.74</v>
          </cell>
          <cell r="G14">
            <v>542251.74</v>
          </cell>
          <cell r="H14">
            <v>-14156750</v>
          </cell>
        </row>
        <row r="15">
          <cell r="E15">
            <v>738993862.69</v>
          </cell>
          <cell r="F15">
            <v>-25270193.04</v>
          </cell>
          <cell r="G15" t="str">
            <v>.</v>
          </cell>
          <cell r="H15">
            <v>713723670</v>
          </cell>
        </row>
        <row r="16">
          <cell r="E16">
            <v>84128551.25</v>
          </cell>
          <cell r="F16">
            <v>-2252005.32</v>
          </cell>
          <cell r="G16" t="str">
            <v>.</v>
          </cell>
          <cell r="H16">
            <v>81876546</v>
          </cell>
        </row>
        <row r="17">
          <cell r="E17">
            <v>128526039.35</v>
          </cell>
          <cell r="F17">
            <v>-19485925.76</v>
          </cell>
          <cell r="G17" t="str">
            <v>.</v>
          </cell>
          <cell r="H17">
            <v>109040114</v>
          </cell>
        </row>
        <row r="18">
          <cell r="E18">
            <v>23724559.26</v>
          </cell>
          <cell r="F18">
            <v>-3863360.14</v>
          </cell>
          <cell r="G18" t="str">
            <v>.</v>
          </cell>
          <cell r="H18">
            <v>19861199</v>
          </cell>
        </row>
        <row r="19">
          <cell r="E19">
            <v>112810397.79</v>
          </cell>
          <cell r="F19">
            <v>-42002992.45</v>
          </cell>
          <cell r="G19" t="str">
            <v>.</v>
          </cell>
          <cell r="H19">
            <v>70807405</v>
          </cell>
        </row>
        <row r="20">
          <cell r="E20">
            <v>9331902.97</v>
          </cell>
          <cell r="F20">
            <v>-2848402.04</v>
          </cell>
          <cell r="G20" t="str">
            <v>.</v>
          </cell>
          <cell r="H20">
            <v>6483501</v>
          </cell>
        </row>
        <row r="21">
          <cell r="E21">
            <v>587766.57</v>
          </cell>
          <cell r="F21">
            <v>-256580.76</v>
          </cell>
          <cell r="G21" t="str">
            <v>.</v>
          </cell>
          <cell r="H21">
            <v>331186</v>
          </cell>
        </row>
        <row r="22">
          <cell r="E22">
            <v>-859146.57</v>
          </cell>
          <cell r="F22">
            <v>-9534.48</v>
          </cell>
          <cell r="G22">
            <v>-9534.48</v>
          </cell>
          <cell r="H22">
            <v>-868681</v>
          </cell>
        </row>
        <row r="23">
          <cell r="E23">
            <v>-41000</v>
          </cell>
          <cell r="F23">
            <v>41000</v>
          </cell>
          <cell r="G23">
            <v>41000</v>
          </cell>
          <cell r="H23">
            <v>0</v>
          </cell>
        </row>
        <row r="24">
          <cell r="E24">
            <v>-169172591.13</v>
          </cell>
          <cell r="F24">
            <v>78417125.36</v>
          </cell>
          <cell r="G24">
            <v>78417125.36</v>
          </cell>
          <cell r="H24">
            <v>-90755466</v>
          </cell>
        </row>
        <row r="25">
          <cell r="E25">
            <v>-1050472.13</v>
          </cell>
          <cell r="F25">
            <v>-26260365.69</v>
          </cell>
          <cell r="G25">
            <v>-26260365.69</v>
          </cell>
          <cell r="H25">
            <v>-27310838</v>
          </cell>
        </row>
        <row r="26">
          <cell r="E26">
            <v>-144570981.75</v>
          </cell>
          <cell r="F26">
            <v>-8064139.77</v>
          </cell>
          <cell r="G26">
            <v>-8064139.77</v>
          </cell>
          <cell r="H26">
            <v>-152635122</v>
          </cell>
        </row>
        <row r="27">
          <cell r="E27">
            <v>-4446402042.56</v>
          </cell>
          <cell r="F27">
            <v>-184380420</v>
          </cell>
          <cell r="G27" t="str">
            <v>.</v>
          </cell>
          <cell r="H27">
            <v>-4630782463</v>
          </cell>
        </row>
        <row r="28">
          <cell r="E28">
            <v>-9122845.09</v>
          </cell>
          <cell r="F28">
            <v>-399606</v>
          </cell>
          <cell r="G28" t="str">
            <v>.</v>
          </cell>
          <cell r="H28">
            <v>-9522451</v>
          </cell>
        </row>
        <row r="29">
          <cell r="E29">
            <v>-117185013.48</v>
          </cell>
          <cell r="F29">
            <v>8963767.5</v>
          </cell>
          <cell r="G29" t="str">
            <v>.</v>
          </cell>
          <cell r="H29">
            <v>-108221246</v>
          </cell>
        </row>
        <row r="30">
          <cell r="E30">
            <v>-985207013.66</v>
          </cell>
          <cell r="F30">
            <v>87015692.01</v>
          </cell>
          <cell r="G30" t="str">
            <v>.</v>
          </cell>
          <cell r="H30">
            <v>-898191322</v>
          </cell>
        </row>
        <row r="31">
          <cell r="E31">
            <v>629689565.05</v>
          </cell>
          <cell r="F31">
            <v>187194485</v>
          </cell>
          <cell r="G31">
            <v>0</v>
          </cell>
          <cell r="H31">
            <v>816884050</v>
          </cell>
        </row>
        <row r="32">
          <cell r="E32">
            <v>9122845.09</v>
          </cell>
          <cell r="F32">
            <v>399606</v>
          </cell>
          <cell r="G32" t="str">
            <v>.</v>
          </cell>
          <cell r="H32">
            <v>9522451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G1">
      <selection activeCell="G2" sqref="G2"/>
    </sheetView>
  </sheetViews>
  <sheetFormatPr defaultColWidth="9.140625" defaultRowHeight="12.75"/>
  <cols>
    <col min="1" max="1" width="32.8515625" style="0" hidden="1" customWidth="1"/>
    <col min="2" max="2" width="14.00390625" style="0" hidden="1" customWidth="1"/>
    <col min="3" max="3" width="1.1484375" style="0" hidden="1" customWidth="1"/>
    <col min="4" max="4" width="0.9921875" style="0" hidden="1" customWidth="1"/>
    <col min="5" max="5" width="15.00390625" style="0" hidden="1" customWidth="1"/>
    <col min="6" max="6" width="15.140625" style="0" hidden="1" customWidth="1"/>
    <col min="7" max="7" width="30.140625" style="40" customWidth="1"/>
    <col min="8" max="8" width="20.421875" style="0" customWidth="1"/>
    <col min="9" max="9" width="17.28125" style="0" bestFit="1" customWidth="1"/>
    <col min="10" max="10" width="15.00390625" style="0" bestFit="1" customWidth="1"/>
  </cols>
  <sheetData>
    <row r="1" ht="15.75">
      <c r="G1" s="63" t="s">
        <v>96</v>
      </c>
    </row>
    <row r="2" spans="2:5" ht="13.5" thickBot="1">
      <c r="B2" s="1"/>
      <c r="C2" s="1"/>
      <c r="D2" s="1"/>
      <c r="E2" s="1"/>
    </row>
    <row r="3" spans="1:10" ht="15.75" thickBot="1">
      <c r="A3" s="2" t="s">
        <v>94</v>
      </c>
      <c r="B3" s="3" t="s">
        <v>0</v>
      </c>
      <c r="C3" s="4"/>
      <c r="D3" s="4"/>
      <c r="E3" s="4" t="s">
        <v>1</v>
      </c>
      <c r="G3" s="41" t="s">
        <v>95</v>
      </c>
      <c r="H3" s="29" t="s">
        <v>87</v>
      </c>
      <c r="I3" s="30" t="s">
        <v>36</v>
      </c>
      <c r="J3" s="31" t="s">
        <v>1</v>
      </c>
    </row>
    <row r="4" spans="1:10" ht="15">
      <c r="A4" s="5" t="s">
        <v>2</v>
      </c>
      <c r="B4" s="6">
        <f>SUM('[1]SUF-D'!E15:E16)</f>
        <v>823122413.94</v>
      </c>
      <c r="C4" s="6">
        <f>SUM('[1]SUF-D'!F15:F16)</f>
        <v>-27522198.36</v>
      </c>
      <c r="D4" s="6">
        <f>SUM('[1]SUF-D'!G15:G16)</f>
        <v>0</v>
      </c>
      <c r="E4" s="6">
        <f>SUM('[1]SUF-D'!H15:H16)</f>
        <v>795600216</v>
      </c>
      <c r="G4" s="42" t="s">
        <v>37</v>
      </c>
      <c r="H4" s="33" t="s">
        <v>48</v>
      </c>
      <c r="I4" s="52">
        <f aca="true" t="shared" si="0" ref="I4:I17">PRODUCT(B4,1/1000)</f>
        <v>823122.4139400001</v>
      </c>
      <c r="J4" s="52">
        <f aca="true" t="shared" si="1" ref="J4:J17">PRODUCT(E4,1/1000)</f>
        <v>795600.216</v>
      </c>
    </row>
    <row r="5" spans="1:10" ht="15">
      <c r="A5" s="7" t="s">
        <v>3</v>
      </c>
      <c r="B5" s="6">
        <f>SUM('[1]SUF-D'!E17:E18)</f>
        <v>152250598.60999998</v>
      </c>
      <c r="C5" s="6">
        <f>SUM('[1]SUF-D'!F17:F18)</f>
        <v>-23349285.900000002</v>
      </c>
      <c r="D5" s="6">
        <f>SUM('[1]SUF-D'!G17:G18)</f>
        <v>0</v>
      </c>
      <c r="E5" s="6">
        <f>SUM('[1]SUF-D'!H17:H18)</f>
        <v>128901313</v>
      </c>
      <c r="G5" s="42" t="s">
        <v>38</v>
      </c>
      <c r="H5" s="33" t="s">
        <v>69</v>
      </c>
      <c r="I5" s="52">
        <f t="shared" si="0"/>
        <v>152250.59861</v>
      </c>
      <c r="J5" s="52">
        <f t="shared" si="1"/>
        <v>128901.31300000001</v>
      </c>
    </row>
    <row r="6" spans="1:10" ht="15">
      <c r="A6" s="7" t="s">
        <v>4</v>
      </c>
      <c r="B6" s="6">
        <f>SUM('[1]SUF-D'!E19:E20)</f>
        <v>122142300.76</v>
      </c>
      <c r="C6" s="6">
        <f>SUM('[1]SUF-D'!F19:F20)</f>
        <v>-44851394.49</v>
      </c>
      <c r="D6" s="6">
        <f>SUM('[1]SUF-D'!G19:G20)</f>
        <v>0</v>
      </c>
      <c r="E6" s="6">
        <f>SUM('[1]SUF-D'!H19:H20)</f>
        <v>77290906</v>
      </c>
      <c r="G6" s="42" t="s">
        <v>39</v>
      </c>
      <c r="H6" s="33" t="s">
        <v>70</v>
      </c>
      <c r="I6" s="52">
        <f t="shared" si="0"/>
        <v>122142.30076000001</v>
      </c>
      <c r="J6" s="52">
        <f t="shared" si="1"/>
        <v>77290.906</v>
      </c>
    </row>
    <row r="7" spans="1:10" ht="15.75" thickBot="1">
      <c r="A7" s="7" t="s">
        <v>5</v>
      </c>
      <c r="B7" s="6">
        <v>0</v>
      </c>
      <c r="C7" s="6">
        <v>0</v>
      </c>
      <c r="D7" s="6">
        <v>0</v>
      </c>
      <c r="E7" s="6">
        <v>0</v>
      </c>
      <c r="G7" s="42" t="s">
        <v>40</v>
      </c>
      <c r="H7" s="33" t="s">
        <v>49</v>
      </c>
      <c r="I7" s="52">
        <f t="shared" si="0"/>
        <v>0</v>
      </c>
      <c r="J7" s="52">
        <f t="shared" si="1"/>
        <v>0</v>
      </c>
    </row>
    <row r="8" spans="1:10" ht="15.75" thickBot="1">
      <c r="A8" s="8" t="s">
        <v>6</v>
      </c>
      <c r="B8" s="9">
        <f>SUM(B4:B7)</f>
        <v>1097515313.3100002</v>
      </c>
      <c r="C8" s="9">
        <f>SUM(C4:C7)</f>
        <v>-95722878.75</v>
      </c>
      <c r="D8" s="9">
        <f>SUM(D4:D7)</f>
        <v>0</v>
      </c>
      <c r="E8" s="9">
        <f>SUM(E4:E7)</f>
        <v>1001792435</v>
      </c>
      <c r="G8" s="43" t="s">
        <v>6</v>
      </c>
      <c r="H8" s="34" t="s">
        <v>50</v>
      </c>
      <c r="I8" s="53">
        <f t="shared" si="0"/>
        <v>1097515.31331</v>
      </c>
      <c r="J8" s="53">
        <f t="shared" si="1"/>
        <v>1001792.435</v>
      </c>
    </row>
    <row r="9" spans="1:10" ht="15.75" thickBot="1">
      <c r="A9" s="10" t="s">
        <v>7</v>
      </c>
      <c r="B9" s="6">
        <f>SUM('[1]SUF-D'!E21)</f>
        <v>587766.57</v>
      </c>
      <c r="C9" s="6">
        <f>SUM('[1]SUF-D'!F21)</f>
        <v>-256580.76</v>
      </c>
      <c r="D9" s="6">
        <f>SUM('[1]SUF-D'!G21)</f>
        <v>0</v>
      </c>
      <c r="E9" s="6">
        <f>SUM('[1]SUF-D'!H21)</f>
        <v>331186</v>
      </c>
      <c r="G9" s="44" t="s">
        <v>41</v>
      </c>
      <c r="H9" s="35" t="s">
        <v>51</v>
      </c>
      <c r="I9" s="54">
        <f t="shared" si="0"/>
        <v>587.76657</v>
      </c>
      <c r="J9" s="55">
        <f t="shared" si="1"/>
        <v>331.186</v>
      </c>
    </row>
    <row r="10" spans="1:10" ht="15.75" thickBot="1">
      <c r="A10" s="8" t="s">
        <v>7</v>
      </c>
      <c r="B10" s="9">
        <f>+B9</f>
        <v>587766.57</v>
      </c>
      <c r="C10" s="9">
        <f>+C9</f>
        <v>-256580.76</v>
      </c>
      <c r="D10" s="9">
        <f>+D9</f>
        <v>0</v>
      </c>
      <c r="E10" s="9">
        <f>+E9</f>
        <v>331186</v>
      </c>
      <c r="G10" s="43" t="s">
        <v>41</v>
      </c>
      <c r="H10" s="34" t="s">
        <v>52</v>
      </c>
      <c r="I10" s="53">
        <f t="shared" si="0"/>
        <v>587.76657</v>
      </c>
      <c r="J10" s="53">
        <f t="shared" si="1"/>
        <v>331.186</v>
      </c>
    </row>
    <row r="11" spans="1:10" ht="15">
      <c r="A11" s="7" t="s">
        <v>8</v>
      </c>
      <c r="B11" s="11">
        <f>SUM('[1]SUF-D'!C36)</f>
        <v>0</v>
      </c>
      <c r="C11" s="11">
        <f>SUM('[1]SUF-D'!D36)</f>
        <v>0</v>
      </c>
      <c r="D11" s="11">
        <f>SUM('[1]SUF-D'!E36)</f>
        <v>0</v>
      </c>
      <c r="E11" s="11">
        <f>SUM('[1]SUF-D'!F36)</f>
        <v>0</v>
      </c>
      <c r="G11" s="42" t="s">
        <v>53</v>
      </c>
      <c r="H11" s="33" t="s">
        <v>54</v>
      </c>
      <c r="I11" s="52">
        <f t="shared" si="0"/>
        <v>0</v>
      </c>
      <c r="J11" s="52">
        <f t="shared" si="1"/>
        <v>0</v>
      </c>
    </row>
    <row r="12" spans="1:10" ht="15">
      <c r="A12" s="7" t="s">
        <v>9</v>
      </c>
      <c r="B12" s="11">
        <f>SUM('[1]SUF-D'!E12)</f>
        <v>8043164.12</v>
      </c>
      <c r="C12" s="11">
        <f>SUM('[1]SUF-D'!F12)</f>
        <v>-323760</v>
      </c>
      <c r="D12" s="11">
        <f>SUM('[1]SUF-D'!G12)</f>
        <v>-323760</v>
      </c>
      <c r="E12" s="11">
        <f>SUM('[1]SUF-D'!H12)</f>
        <v>7719404</v>
      </c>
      <c r="G12" s="42" t="s">
        <v>55</v>
      </c>
      <c r="H12" s="33" t="s">
        <v>56</v>
      </c>
      <c r="I12" s="52">
        <f t="shared" si="0"/>
        <v>8043.16412</v>
      </c>
      <c r="J12" s="52">
        <f t="shared" si="1"/>
        <v>7719.404</v>
      </c>
    </row>
    <row r="13" spans="1:10" ht="15.75" thickBot="1">
      <c r="A13" s="7" t="s">
        <v>10</v>
      </c>
      <c r="B13" s="11">
        <f>SUM('[1]SUF-D'!E44)</f>
        <v>0</v>
      </c>
      <c r="C13" s="11">
        <f>SUM('[1]SUF-D'!F44)</f>
        <v>0</v>
      </c>
      <c r="D13" s="11">
        <f>SUM('[1]SUF-D'!G44)</f>
        <v>0</v>
      </c>
      <c r="E13" s="11">
        <f>SUM('[1]SUF-D'!H44)</f>
        <v>0</v>
      </c>
      <c r="G13" s="42" t="s">
        <v>57</v>
      </c>
      <c r="H13" s="33" t="s">
        <v>75</v>
      </c>
      <c r="I13" s="52">
        <f t="shared" si="0"/>
        <v>0</v>
      </c>
      <c r="J13" s="52">
        <f t="shared" si="1"/>
        <v>0</v>
      </c>
    </row>
    <row r="14" spans="1:10" ht="15.75" thickBot="1">
      <c r="A14" s="8" t="s">
        <v>11</v>
      </c>
      <c r="B14" s="9">
        <f>SUM(B11:B13)</f>
        <v>8043164.12</v>
      </c>
      <c r="C14" s="9">
        <f>SUM(C11:C13)</f>
        <v>-323760</v>
      </c>
      <c r="D14" s="9">
        <f>SUM(D11:D13)</f>
        <v>-323760</v>
      </c>
      <c r="E14" s="9">
        <f>SUM(E11:E13)</f>
        <v>7719404</v>
      </c>
      <c r="G14" s="43" t="s">
        <v>11</v>
      </c>
      <c r="H14" s="34" t="s">
        <v>58</v>
      </c>
      <c r="I14" s="53">
        <f t="shared" si="0"/>
        <v>8043.16412</v>
      </c>
      <c r="J14" s="53">
        <f t="shared" si="1"/>
        <v>7719.404</v>
      </c>
    </row>
    <row r="15" spans="1:10" ht="17.25" thickBot="1">
      <c r="A15" s="12" t="s">
        <v>12</v>
      </c>
      <c r="B15" s="13">
        <f>+B8+B10+B14</f>
        <v>1106146244</v>
      </c>
      <c r="C15" s="13">
        <f>+C8+C10+C14</f>
        <v>-96303219.51</v>
      </c>
      <c r="D15" s="13">
        <f>+D8+D10+D14</f>
        <v>-323760</v>
      </c>
      <c r="E15" s="13">
        <f>+E8+E10+E14</f>
        <v>1009843025</v>
      </c>
      <c r="G15" s="43" t="s">
        <v>12</v>
      </c>
      <c r="H15" s="34"/>
      <c r="I15" s="53">
        <f t="shared" si="0"/>
        <v>1106146.244</v>
      </c>
      <c r="J15" s="53">
        <f t="shared" si="1"/>
        <v>1009843.025</v>
      </c>
    </row>
    <row r="16" spans="1:10" ht="15">
      <c r="A16" s="14" t="s">
        <v>13</v>
      </c>
      <c r="B16" s="6">
        <f>SUM('[1]SUF-D'!B37)</f>
        <v>0</v>
      </c>
      <c r="C16" s="6">
        <f>SUM('[1]SUF-D'!C37)</f>
        <v>0</v>
      </c>
      <c r="D16" s="6">
        <f>SUM('[1]SUF-D'!D37)</f>
        <v>0</v>
      </c>
      <c r="E16" s="6">
        <f>SUM('[1]SUF-D'!E37)</f>
        <v>0</v>
      </c>
      <c r="G16" s="42" t="s">
        <v>60</v>
      </c>
      <c r="H16" s="33" t="s">
        <v>67</v>
      </c>
      <c r="I16" s="52">
        <f t="shared" si="0"/>
        <v>0</v>
      </c>
      <c r="J16" s="52">
        <f t="shared" si="1"/>
        <v>0</v>
      </c>
    </row>
    <row r="17" spans="1:10" ht="15">
      <c r="A17" s="14" t="s">
        <v>14</v>
      </c>
      <c r="B17" s="6">
        <v>0</v>
      </c>
      <c r="C17" s="6">
        <v>0</v>
      </c>
      <c r="D17" s="6">
        <v>0</v>
      </c>
      <c r="E17" s="6">
        <v>0</v>
      </c>
      <c r="G17" s="42" t="s">
        <v>61</v>
      </c>
      <c r="H17" s="33" t="s">
        <v>68</v>
      </c>
      <c r="I17" s="52">
        <f t="shared" si="0"/>
        <v>0</v>
      </c>
      <c r="J17" s="52">
        <f t="shared" si="1"/>
        <v>0</v>
      </c>
    </row>
    <row r="18" spans="1:10" ht="15">
      <c r="A18" s="7" t="s">
        <v>15</v>
      </c>
      <c r="B18" s="6">
        <f>SUM('[1]SUF-D'!E4)</f>
        <v>399754.98</v>
      </c>
      <c r="C18" s="6">
        <f>SUM('[1]SUF-D'!F4)</f>
        <v>-399755.08</v>
      </c>
      <c r="D18" s="6">
        <f>SUM('[1]SUF-D'!G4)</f>
        <v>-399755.08</v>
      </c>
      <c r="E18" s="6">
        <f>SUM('[1]SUF-D'!H4)</f>
        <v>0</v>
      </c>
      <c r="G18" s="42" t="s">
        <v>62</v>
      </c>
      <c r="H18" s="33" t="s">
        <v>66</v>
      </c>
      <c r="I18" s="52">
        <v>527306</v>
      </c>
      <c r="J18" s="52">
        <v>386548</v>
      </c>
    </row>
    <row r="19" spans="1:10" ht="15">
      <c r="A19" s="7" t="s">
        <v>16</v>
      </c>
      <c r="B19" s="15">
        <f>SUM('[1]SUF-D'!E5:E10)</f>
        <v>526905954.86</v>
      </c>
      <c r="C19" s="15">
        <f>SUM('[1]SUF-D'!F5:F10)</f>
        <v>-140358033.3</v>
      </c>
      <c r="D19" s="15">
        <f>SUM('[1]SUF-D'!G5:G10)</f>
        <v>-137543968.3</v>
      </c>
      <c r="E19" s="15">
        <f>SUM('[1]SUF-D'!H5:H10)</f>
        <v>386547922</v>
      </c>
      <c r="G19" s="49" t="s">
        <v>59</v>
      </c>
      <c r="H19" s="50" t="s">
        <v>71</v>
      </c>
      <c r="I19" s="56">
        <v>400</v>
      </c>
      <c r="J19" s="56">
        <v>0</v>
      </c>
    </row>
    <row r="20" spans="1:10" ht="15">
      <c r="A20" s="14" t="s">
        <v>17</v>
      </c>
      <c r="B20" s="16">
        <f>SUM(B18:B19)</f>
        <v>527305709.84000003</v>
      </c>
      <c r="C20" s="16">
        <f>SUM(C18:C19)</f>
        <v>-140757788.38000003</v>
      </c>
      <c r="D20" s="16">
        <f>SUM(D18:D19)</f>
        <v>-137943723.38000003</v>
      </c>
      <c r="E20" s="16">
        <f>SUM(E18:E19)</f>
        <v>386547922</v>
      </c>
      <c r="G20" s="49" t="s">
        <v>65</v>
      </c>
      <c r="H20" s="50" t="s">
        <v>72</v>
      </c>
      <c r="I20" s="56">
        <v>526906</v>
      </c>
      <c r="J20" s="56">
        <v>386547</v>
      </c>
    </row>
    <row r="21" spans="1:10" ht="15">
      <c r="A21" s="14" t="s">
        <v>18</v>
      </c>
      <c r="B21" s="15">
        <f>SUM('[1]SUF-D'!E11)</f>
        <v>22663674</v>
      </c>
      <c r="C21" s="15">
        <f>SUM('[1]SUF-D'!F11)</f>
        <v>-4833770</v>
      </c>
      <c r="D21" s="15">
        <f>SUM('[1]SUF-D'!G11)</f>
        <v>-4833770</v>
      </c>
      <c r="E21" s="15">
        <f>SUM('[1]SUF-D'!H11)</f>
        <v>17829904</v>
      </c>
      <c r="G21" s="42" t="s">
        <v>63</v>
      </c>
      <c r="H21" s="33" t="s">
        <v>73</v>
      </c>
      <c r="I21" s="52">
        <f>PRODUCT(B21,1/1000)</f>
        <v>22663.674</v>
      </c>
      <c r="J21" s="52">
        <f>PRODUCT(E21,1/1000)</f>
        <v>17829.904</v>
      </c>
    </row>
    <row r="22" spans="1:10" ht="15.75" thickBot="1">
      <c r="A22" s="14" t="s">
        <v>19</v>
      </c>
      <c r="B22" s="15">
        <f>SUM('[1]SUF-D'!E2:E3)</f>
        <v>3593307070.4599996</v>
      </c>
      <c r="C22" s="15">
        <f>SUM('[1]SUF-D'!F2:F3)</f>
        <v>-3155951561.64</v>
      </c>
      <c r="D22" s="15">
        <f>SUM('[1]SUF-D'!G2:G3)</f>
        <v>-3155951561.64</v>
      </c>
      <c r="E22" s="15">
        <f>SUM('[1]SUF-D'!H2:H3)</f>
        <v>437355509</v>
      </c>
      <c r="F22" s="1">
        <f>SUM(E22)</f>
        <v>437355509</v>
      </c>
      <c r="G22" s="42" t="s">
        <v>64</v>
      </c>
      <c r="H22" s="33" t="s">
        <v>74</v>
      </c>
      <c r="I22" s="52">
        <v>0</v>
      </c>
      <c r="J22" s="52">
        <v>0</v>
      </c>
    </row>
    <row r="23" spans="1:10" ht="17.25" thickBot="1">
      <c r="A23" s="12" t="s">
        <v>20</v>
      </c>
      <c r="B23" s="3">
        <f>SUM(B21:B22,B16:B17,B20)</f>
        <v>4143276454.2999997</v>
      </c>
      <c r="C23" s="3">
        <f>SUM(C21:C22,C16:C17,C20)</f>
        <v>-3301543120.02</v>
      </c>
      <c r="D23" s="3">
        <f>SUM(D21:D22,D16:D17,D20)</f>
        <v>-3298729055.02</v>
      </c>
      <c r="E23" s="3">
        <f>SUM(E21:E22,E16:E17,E20)</f>
        <v>841733335</v>
      </c>
      <c r="F23" s="1">
        <v>202640981</v>
      </c>
      <c r="G23" s="43" t="s">
        <v>20</v>
      </c>
      <c r="H23" s="34"/>
      <c r="I23" s="53">
        <f>SUM(I16:I18,I21:I22)</f>
        <v>549969.674</v>
      </c>
      <c r="J23" s="53">
        <f>SUM(J16:J18,J21:J22)</f>
        <v>404377.904</v>
      </c>
    </row>
    <row r="24" spans="1:10" ht="17.25" thickBot="1">
      <c r="A24" s="27" t="s">
        <v>21</v>
      </c>
      <c r="B24" s="3">
        <f>+B15+B23</f>
        <v>5249422698.299999</v>
      </c>
      <c r="C24" s="3">
        <f>+C15+C23</f>
        <v>-3397846339.53</v>
      </c>
      <c r="D24" s="3">
        <f>+D15+D23</f>
        <v>-3299052815.02</v>
      </c>
      <c r="E24" s="3">
        <f>+E15+E23</f>
        <v>1851576360</v>
      </c>
      <c r="F24" s="28"/>
      <c r="G24" s="43" t="s">
        <v>42</v>
      </c>
      <c r="H24" s="36"/>
      <c r="I24" s="57">
        <f>SUM(I15,I23)</f>
        <v>1656115.918</v>
      </c>
      <c r="J24" s="57">
        <f>SUM(J23,J15)</f>
        <v>1414220.929</v>
      </c>
    </row>
    <row r="25" spans="1:11" ht="16.5" thickBot="1" thickTop="1">
      <c r="A25" s="26"/>
      <c r="B25" s="3"/>
      <c r="C25" s="3"/>
      <c r="D25" s="3"/>
      <c r="E25" s="3"/>
      <c r="G25" s="45"/>
      <c r="H25" s="32"/>
      <c r="I25" s="61"/>
      <c r="J25" s="62"/>
      <c r="K25" s="51"/>
    </row>
    <row r="26" spans="1:10" ht="17.25" thickBot="1">
      <c r="A26" s="17" t="s">
        <v>22</v>
      </c>
      <c r="B26" s="3">
        <f>SUM('[1]SUF-D'!E29:E32)</f>
        <v>-463579616.99999994</v>
      </c>
      <c r="C26" s="3">
        <f>SUM('[1]SUF-D'!F29:F32)</f>
        <v>283573550.51</v>
      </c>
      <c r="D26" s="3">
        <f>SUM('[1]SUF-D'!G29:G32)</f>
        <v>0</v>
      </c>
      <c r="E26" s="3">
        <f>SUM('[1]SUF-D'!H29:H32)</f>
        <v>-180006067</v>
      </c>
      <c r="F26" s="1">
        <f>SUM(E26,-E40)</f>
        <v>3074455411</v>
      </c>
      <c r="G26" s="46" t="s">
        <v>43</v>
      </c>
      <c r="H26" s="37" t="s">
        <v>76</v>
      </c>
      <c r="I26" s="58">
        <v>-3129728</v>
      </c>
      <c r="J26" s="58">
        <v>-3511811</v>
      </c>
    </row>
    <row r="27" spans="1:10" ht="15">
      <c r="A27" s="18" t="s">
        <v>23</v>
      </c>
      <c r="B27" s="15">
        <f>SUM('[1]SUF-D'!E40)</f>
        <v>0</v>
      </c>
      <c r="C27" s="15">
        <f>SUM('[1]SUF-D'!F40)</f>
        <v>0</v>
      </c>
      <c r="D27" s="15">
        <f>SUM('[1]SUF-D'!G40)</f>
        <v>0</v>
      </c>
      <c r="E27" s="15">
        <f>SUM('[1]SUF-D'!H40)</f>
        <v>0</v>
      </c>
      <c r="F27" s="1">
        <v>-1243619990</v>
      </c>
      <c r="G27" s="47" t="s">
        <v>77</v>
      </c>
      <c r="H27" s="38" t="s">
        <v>80</v>
      </c>
      <c r="I27" s="59">
        <f aca="true" t="shared" si="2" ref="I27:I38">PRODUCT(B27,-1/1000)</f>
        <v>0</v>
      </c>
      <c r="J27" s="59">
        <f aca="true" t="shared" si="3" ref="J27:J38">PRODUCT(E27,-1/1000)</f>
        <v>0</v>
      </c>
    </row>
    <row r="28" spans="1:10" ht="15.75" thickBot="1">
      <c r="A28" s="18" t="s">
        <v>24</v>
      </c>
      <c r="B28" s="15">
        <f>SUM('[1]SUF-D'!E27:E28)</f>
        <v>-4455524887.650001</v>
      </c>
      <c r="C28" s="15">
        <f>SUM('[1]SUF-D'!F27:F28)</f>
        <v>-184780026</v>
      </c>
      <c r="D28" s="15">
        <f>SUM('[1]SUF-D'!G27:G28)</f>
        <v>0</v>
      </c>
      <c r="E28" s="15">
        <f>SUM('[1]SUF-D'!H27:H28)</f>
        <v>-4640304914</v>
      </c>
      <c r="G28" s="47" t="s">
        <v>78</v>
      </c>
      <c r="H28" s="38" t="s">
        <v>79</v>
      </c>
      <c r="I28" s="59">
        <f t="shared" si="2"/>
        <v>4455524.887650001</v>
      </c>
      <c r="J28" s="59">
        <f t="shared" si="3"/>
        <v>4640304.914</v>
      </c>
    </row>
    <row r="29" spans="1:10" ht="17.25" thickBot="1">
      <c r="A29" s="19" t="s">
        <v>25</v>
      </c>
      <c r="B29" s="3">
        <f>SUM(B27:B28)</f>
        <v>-4455524887.650001</v>
      </c>
      <c r="C29" s="3">
        <f>SUM(C27:C28)</f>
        <v>-184780026</v>
      </c>
      <c r="D29" s="3">
        <f>SUM(D27:D28)</f>
        <v>0</v>
      </c>
      <c r="E29" s="3">
        <f>SUM(E27:E28)</f>
        <v>-4640304914</v>
      </c>
      <c r="G29" s="46" t="s">
        <v>44</v>
      </c>
      <c r="H29" s="37"/>
      <c r="I29" s="58">
        <f t="shared" si="2"/>
        <v>4455524.887650001</v>
      </c>
      <c r="J29" s="58">
        <f t="shared" si="3"/>
        <v>4640304.914</v>
      </c>
    </row>
    <row r="30" spans="1:10" ht="15">
      <c r="A30" s="18" t="s">
        <v>26</v>
      </c>
      <c r="B30" s="15">
        <f>SUM('[1]SUF-D'!E14)</f>
        <v>-14699002.07</v>
      </c>
      <c r="C30" s="15">
        <f>SUM('[1]SUF-D'!F14)</f>
        <v>542251.74</v>
      </c>
      <c r="D30" s="15">
        <f>SUM('[1]SUF-D'!G14)</f>
        <v>542251.74</v>
      </c>
      <c r="E30" s="15">
        <f>SUM('[1]SUF-D'!H14)</f>
        <v>-14156750</v>
      </c>
      <c r="G30" s="47" t="s">
        <v>46</v>
      </c>
      <c r="H30" s="38" t="s">
        <v>81</v>
      </c>
      <c r="I30" s="59">
        <f t="shared" si="2"/>
        <v>14699.00207</v>
      </c>
      <c r="J30" s="59">
        <f t="shared" si="3"/>
        <v>14156.75</v>
      </c>
    </row>
    <row r="31" spans="1:10" ht="15.75" thickBot="1">
      <c r="A31" s="18" t="s">
        <v>27</v>
      </c>
      <c r="B31" s="15">
        <f>SUM('[1]SUF-D'!C37)</f>
        <v>0</v>
      </c>
      <c r="C31" s="15">
        <f>SUM('[1]SUF-D'!D37)</f>
        <v>0</v>
      </c>
      <c r="D31" s="15">
        <f>SUM('[1]SUF-D'!E37)</f>
        <v>0</v>
      </c>
      <c r="E31" s="15">
        <f>SUM('[1]SUF-D'!F37)</f>
        <v>0</v>
      </c>
      <c r="G31" s="47" t="s">
        <v>82</v>
      </c>
      <c r="H31" s="38" t="s">
        <v>83</v>
      </c>
      <c r="I31" s="59">
        <f t="shared" si="2"/>
        <v>0</v>
      </c>
      <c r="J31" s="59">
        <f t="shared" si="3"/>
        <v>0</v>
      </c>
    </row>
    <row r="32" spans="1:10" ht="15.75" thickBot="1">
      <c r="A32" s="20" t="s">
        <v>28</v>
      </c>
      <c r="B32" s="16">
        <f>SUM(B30:B31)</f>
        <v>-14699002.07</v>
      </c>
      <c r="C32" s="16">
        <f>SUM(C30:C31)</f>
        <v>542251.74</v>
      </c>
      <c r="D32" s="16">
        <f>SUM(D30:D31)</f>
        <v>542251.74</v>
      </c>
      <c r="E32" s="16">
        <f>SUM(E30:E31)</f>
        <v>-14156750</v>
      </c>
      <c r="G32" s="46" t="s">
        <v>84</v>
      </c>
      <c r="H32" s="37"/>
      <c r="I32" s="58">
        <f t="shared" si="2"/>
        <v>14699.00207</v>
      </c>
      <c r="J32" s="58">
        <f t="shared" si="3"/>
        <v>14156.75</v>
      </c>
    </row>
    <row r="33" spans="1:10" ht="15.75" thickBot="1">
      <c r="A33" s="21" t="s">
        <v>29</v>
      </c>
      <c r="B33" s="16">
        <f>SUM('[1]SUF-D'!E13,'[1]SUF-D'!E22:E23)</f>
        <v>-825146.57</v>
      </c>
      <c r="C33" s="16">
        <f>SUM('[1]SUF-D'!F13,'[1]SUF-D'!F22:F23)</f>
        <v>-43534.479999999996</v>
      </c>
      <c r="D33" s="16">
        <f>SUM('[1]SUF-D'!G13,'[1]SUF-D'!G22:G23)</f>
        <v>-43534.479999999996</v>
      </c>
      <c r="E33" s="16">
        <f>SUM('[1]SUF-D'!H13,'[1]SUF-D'!H22:H23)</f>
        <v>-868681</v>
      </c>
      <c r="G33" s="46" t="s">
        <v>85</v>
      </c>
      <c r="H33" s="37" t="s">
        <v>86</v>
      </c>
      <c r="I33" s="58">
        <f t="shared" si="2"/>
        <v>825.14657</v>
      </c>
      <c r="J33" s="58">
        <f t="shared" si="3"/>
        <v>868.681</v>
      </c>
    </row>
    <row r="34" spans="1:10" ht="15">
      <c r="A34" s="18" t="s">
        <v>30</v>
      </c>
      <c r="B34" s="15">
        <v>0</v>
      </c>
      <c r="C34" s="15">
        <v>0</v>
      </c>
      <c r="D34" s="15">
        <v>0</v>
      </c>
      <c r="E34" s="15">
        <v>0</v>
      </c>
      <c r="G34" s="47" t="s">
        <v>45</v>
      </c>
      <c r="H34" s="38" t="s">
        <v>91</v>
      </c>
      <c r="I34" s="59">
        <f t="shared" si="2"/>
        <v>0</v>
      </c>
      <c r="J34" s="59">
        <f t="shared" si="3"/>
        <v>0</v>
      </c>
    </row>
    <row r="35" spans="1:10" ht="15">
      <c r="A35" s="18" t="s">
        <v>31</v>
      </c>
      <c r="B35" s="15">
        <f>SUM('[1]SUF-D'!B38)</f>
        <v>0</v>
      </c>
      <c r="C35" s="15">
        <f>SUM('[1]SUF-D'!C38)</f>
        <v>0</v>
      </c>
      <c r="D35" s="15">
        <f>SUM('[1]SUF-D'!D38)</f>
        <v>0</v>
      </c>
      <c r="E35" s="15">
        <f>SUM('[1]SUF-D'!E38)</f>
        <v>0</v>
      </c>
      <c r="G35" s="47" t="s">
        <v>88</v>
      </c>
      <c r="H35" s="38" t="s">
        <v>92</v>
      </c>
      <c r="I35" s="59">
        <f t="shared" si="2"/>
        <v>0</v>
      </c>
      <c r="J35" s="59">
        <f t="shared" si="3"/>
        <v>0</v>
      </c>
    </row>
    <row r="36" spans="1:10" ht="15.75" thickBot="1">
      <c r="A36" s="18" t="s">
        <v>32</v>
      </c>
      <c r="B36" s="22">
        <f>SUM('[1]SUF-D'!E24:E26)</f>
        <v>-314794045.01</v>
      </c>
      <c r="C36" s="22">
        <f>SUM('[1]SUF-D'!F24:F26)</f>
        <v>44092619.900000006</v>
      </c>
      <c r="D36" s="22">
        <f>SUM('[1]SUF-D'!G24:G26)</f>
        <v>44092619.900000006</v>
      </c>
      <c r="E36" s="22">
        <f>SUM('[1]SUF-D'!H24:H26)</f>
        <v>-270701426</v>
      </c>
      <c r="G36" s="47" t="s">
        <v>89</v>
      </c>
      <c r="H36" s="38" t="s">
        <v>93</v>
      </c>
      <c r="I36" s="59">
        <f t="shared" si="2"/>
        <v>314794.04501</v>
      </c>
      <c r="J36" s="59">
        <f t="shared" si="3"/>
        <v>270701.426</v>
      </c>
    </row>
    <row r="37" spans="1:10" ht="15.75" thickBot="1">
      <c r="A37" s="20" t="s">
        <v>33</v>
      </c>
      <c r="B37" s="16">
        <f>SUM(B34:B36)</f>
        <v>-314794045.01</v>
      </c>
      <c r="C37" s="16">
        <f>SUM(C34:C36)</f>
        <v>44092619.900000006</v>
      </c>
      <c r="D37" s="16">
        <f>SUM(D34:D36)</f>
        <v>44092619.900000006</v>
      </c>
      <c r="E37" s="16">
        <f>SUM(E34:E36)</f>
        <v>-270701426</v>
      </c>
      <c r="G37" s="46" t="s">
        <v>90</v>
      </c>
      <c r="H37" s="37"/>
      <c r="I37" s="58">
        <f t="shared" si="2"/>
        <v>314794.04501</v>
      </c>
      <c r="J37" s="58">
        <f t="shared" si="3"/>
        <v>270701.426</v>
      </c>
    </row>
    <row r="38" spans="1:10" ht="17.25" thickBot="1">
      <c r="A38" s="23" t="s">
        <v>34</v>
      </c>
      <c r="B38" s="3">
        <f>SUM(B37,B32:B33)</f>
        <v>-330318193.65</v>
      </c>
      <c r="C38" s="3">
        <f>SUM(C37,C32:C33)</f>
        <v>44591337.16000001</v>
      </c>
      <c r="D38" s="3">
        <f>SUM(D37,D32:D33)</f>
        <v>44591337.16000001</v>
      </c>
      <c r="E38" s="3">
        <f>SUM(E37,E32:E33)</f>
        <v>-285726857</v>
      </c>
      <c r="G38" s="46" t="s">
        <v>34</v>
      </c>
      <c r="H38" s="37"/>
      <c r="I38" s="58">
        <f t="shared" si="2"/>
        <v>330318.19365</v>
      </c>
      <c r="J38" s="58">
        <f t="shared" si="3"/>
        <v>285726.857</v>
      </c>
    </row>
    <row r="39" spans="1:10" ht="17.25" thickBot="1">
      <c r="A39" s="24" t="s">
        <v>35</v>
      </c>
      <c r="B39" s="25">
        <f>SUM(B38,B29,B26)</f>
        <v>-5249422698.3</v>
      </c>
      <c r="C39" s="25">
        <f>SUM(C38,C29,C26)</f>
        <v>143384861.67000002</v>
      </c>
      <c r="D39" s="25">
        <f>SUM(D38,D29,D26)</f>
        <v>44591337.16000001</v>
      </c>
      <c r="E39" s="25">
        <f>SUM(E38,E29,E26)</f>
        <v>-5106037838</v>
      </c>
      <c r="G39" s="48" t="s">
        <v>47</v>
      </c>
      <c r="H39" s="39"/>
      <c r="I39" s="60">
        <f>SUM(I38,I29,I26)</f>
        <v>1656115.0813000007</v>
      </c>
      <c r="J39" s="60">
        <f>SUM(J26,J29,J38)</f>
        <v>1414220.771</v>
      </c>
    </row>
    <row r="40" spans="2:6" ht="13.5" thickTop="1">
      <c r="B40" s="1">
        <f>SUM(B39,B24)</f>
        <v>0</v>
      </c>
      <c r="C40" s="1"/>
      <c r="D40" s="1"/>
      <c r="E40" s="1">
        <f>SUM(E39,E24)</f>
        <v>-3254461478</v>
      </c>
      <c r="F40" s="1">
        <f>SUM(-E40,E39)</f>
        <v>-1851576360</v>
      </c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</sheetData>
  <printOptions/>
  <pageMargins left="0.7874015748031497" right="0.7874015748031497" top="0.984251968503937" bottom="0.984251968503937" header="0" footer="0"/>
  <pageSetup horizontalDpi="600" verticalDpi="600" orientation="portrait" paperSize="8" r:id="rId1"/>
  <headerFooter alignWithMargins="0">
    <oddHeader>&amp;LBørne- og Ungdomsforvaltningens årsregnskab for 2007</oddHeader>
    <oddFooter>&amp;R1/1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 Saaeby Voss</dc:creator>
  <cp:keywords/>
  <dc:description/>
  <cp:lastModifiedBy>Administrator</cp:lastModifiedBy>
  <cp:lastPrinted>2008-03-02T13:29:30Z</cp:lastPrinted>
  <dcterms:created xsi:type="dcterms:W3CDTF">2008-02-13T12:28:52Z</dcterms:created>
  <dcterms:modified xsi:type="dcterms:W3CDTF">2008-03-02T13:29:31Z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