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drawings/drawing5.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https://vmas.sharepoint.com/sites/VMHome/Projekter/3356 - Beregningsværktøj Klimafacade+ KK/Beregninger/"/>
    </mc:Choice>
  </mc:AlternateContent>
  <xr:revisionPtr revIDLastSave="289" documentId="8_{14916F05-D89C-4484-8D3C-0D5568F78406}" xr6:coauthVersionLast="47" xr6:coauthVersionMax="47" xr10:uidLastSave="{A9A36F88-D4E9-4A1B-82B0-99F9B31CF71B}"/>
  <workbookProtection workbookAlgorithmName="SHA-512" workbookHashValue="gVSZj/jSL1D5lLZs/GA/f4nCxldYERso+wZdatpng09PLgHJlFpnGuMi/U9wkfighCXUkuYIAJCem8sg1WApNA==" workbookSaltValue="zq/PaySpD/WrKvdUcaOO1Q==" workbookSpinCount="100000" lockStructure="1"/>
  <bookViews>
    <workbookView xWindow="-120" yWindow="-120" windowWidth="29040" windowHeight="15720" tabRatio="892" firstSheet="1" activeTab="1" xr2:uid="{A2E1E42D-7A9F-48BF-BE2C-3DA9B985CD65}"/>
  </bookViews>
  <sheets>
    <sheet name="Projekt" sheetId="7" state="hidden" r:id="rId1"/>
    <sheet name="Introduktion" sheetId="25" r:id="rId2"/>
    <sheet name="Beregner" sheetId="8" r:id="rId3"/>
    <sheet name="Metode" sheetId="26" r:id="rId4"/>
    <sheet name="Grafpunkter" sheetId="28" state="hidden" r:id="rId5"/>
    <sheet name="Tidstabel" sheetId="27" state="hidden" r:id="rId6"/>
    <sheet name="Materialedata" sheetId="11" state="hidden" r:id="rId7"/>
    <sheet name="Byggeprocess" sheetId="21" state="hidden" r:id="rId8"/>
    <sheet name="Vedligehold" sheetId="29" state="hidden" r:id="rId9"/>
    <sheet name="Energiberegning" sheetId="16" state="hidden" r:id="rId10"/>
    <sheet name="Energiprognose" sheetId="20" state="hidden" r:id="rId11"/>
    <sheet name="Økonomidata" sheetId="31" state="hidden" r:id="rId12"/>
    <sheet name="InputCheck" sheetId="30" state="hidden" r:id="rId13"/>
    <sheet name="Valgmuligheder" sheetId="5" state="hidden" r:id="rId14"/>
  </sheets>
  <definedNames>
    <definedName name="A5_ElVarmeBrændstofByggeplads">Byggeprocess!$C$33</definedName>
    <definedName name="AP_Enhedspris">Tidstabel!$BT$2</definedName>
    <definedName name="AP_Genoprettelse">Tidstabel!$CA$2</definedName>
    <definedName name="AP_Levetid">Tidstabel!$BW$2</definedName>
    <definedName name="AP_Materiale">Tidstabel!$BU$2</definedName>
    <definedName name="AP_Titel">Tidstabel!$G$1</definedName>
    <definedName name="AP_Vedligehold_i">Tidstabel!$BV$2</definedName>
    <definedName name="AP_Vedligehold_p">Tidstabel!$BX$2</definedName>
    <definedName name="BlankTegn">Valgmuligheder!$C$3</definedName>
    <definedName name="Byggeomkostningsindeks">Økonomidata!$H$3</definedName>
    <definedName name="Check_Fremskridtsvisning">InputCheck!$C$12</definedName>
    <definedName name="Check_Færdighedsgrad">InputCheck!$C$11</definedName>
    <definedName name="EF_Enhedspris">Tidstabel!$AI$2</definedName>
    <definedName name="EF_Levetid">Tidstabel!$AG$2</definedName>
    <definedName name="EF_Vedligehold_i">Tidstabel!$AF$2</definedName>
    <definedName name="EF_Vedligehold_p">Tidstabel!$AH$2</definedName>
    <definedName name="EI_Enhedspris">Tidstabel!$BL$2</definedName>
    <definedName name="EI_Genoprettelse">Tidstabel!$BS$2</definedName>
    <definedName name="EI_Levetid">Tidstabel!$BO$2</definedName>
    <definedName name="EI_Materiale">Tidstabel!$BM$2</definedName>
    <definedName name="EI_Titel">Tidstabel!$F$1</definedName>
    <definedName name="EI_Vedligehold_i">Tidstabel!$BN$2</definedName>
    <definedName name="EI_Vedligehold_p">Tidstabel!$BP$2</definedName>
    <definedName name="Energibesparelse_Årlig">Økonomidata!$K$18</definedName>
    <definedName name="Enhedspris_Klimafacade_Total">Økonomidata!$L$11</definedName>
    <definedName name="Facadekomponenter">Beregner!$C$24:$C$28</definedName>
    <definedName name="FB_Enhedspris">Tidstabel!$AV$2</definedName>
    <definedName name="FB_Genoprettelse">Tidstabel!$BC$2</definedName>
    <definedName name="FB_Levetid">Tidstabel!$AY$2</definedName>
    <definedName name="FB_Materiale">Tidstabel!$AW$2</definedName>
    <definedName name="FB_Titel">Tidstabel!$D$1</definedName>
    <definedName name="FB_Vedligehold_i">Tidstabel!$AX$2</definedName>
    <definedName name="FB_Vedligehold_p">Tidstabel!$AZ$2</definedName>
    <definedName name="Input_Afstandsprofil">Beregner!$D$27</definedName>
    <definedName name="Input_EksisterendeFacade">Beregner!$C$13</definedName>
    <definedName name="Input_Etableringsår">Beregner!$D$40</definedName>
    <definedName name="Input_Facadebeklædning">Beregner!$D$24</definedName>
    <definedName name="Input_Fjernvarmepris">Beregner!$D$42</definedName>
    <definedName name="Input_Genbrug_Afstandsprofil">Beregner!$J$27</definedName>
    <definedName name="Input_Genbrug_Facadebeklædning">Beregner!$J$24</definedName>
    <definedName name="Input_Genbrug_Isolering">Beregner!$J$26</definedName>
    <definedName name="Input_Genbrug_Skelet">Beregner!$J$28</definedName>
    <definedName name="Input_Genbrug_Vindspærre">Beregner!$J$25</definedName>
    <definedName name="Input_Isolering">Beregner!$D$26</definedName>
    <definedName name="Input_Isoleringstykkelse">Beregner!$G$26</definedName>
    <definedName name="Input_Skelet">Beregner!$D$28</definedName>
    <definedName name="Input_Tidshorisont">Beregner!$D$41</definedName>
    <definedName name="Input_Vindspærre">Beregner!$D$25</definedName>
    <definedName name="KR_Trin0_Rente">Økonomidata!$E$3</definedName>
    <definedName name="KR_Trin0_Tærskel">Økonomidata!$D$3</definedName>
    <definedName name="KR_Trin1_Rente">Økonomidata!$E$4</definedName>
    <definedName name="KR_Trin1_Tærskel">Økonomidata!$D$4</definedName>
    <definedName name="KR_Trin2_Rente">Økonomidata!$E$5</definedName>
    <definedName name="KR_Trin2_Tærskel">Økonomidata!$D$5</definedName>
    <definedName name="KR_Trin3_Rente">Økonomidata!$E$6</definedName>
    <definedName name="KR_Trin3_Tærskel">Økonomidata!$D$6</definedName>
    <definedName name="LCA_Rentabel_År">Grafpunkter!$G$5</definedName>
    <definedName name="LCC_Rentabel_År">Grafpunkter!$L$5</definedName>
    <definedName name="MolioPrisdataÅr">Økonomidata!$H$13</definedName>
    <definedName name="PrisudviklingFjernvarme">Økonomidata!$H$5</definedName>
    <definedName name="PrisudviklingGenerelt">Økonomidata!$H$2</definedName>
    <definedName name="Range_Energi_År">Energiberegning!$K$6:$CM$6</definedName>
    <definedName name="Range_Energi_ÅrligBesparelse">Energiberegning!$K$8:$CM$23</definedName>
    <definedName name="Range_Energi_Årstal">Energiberegning!$K$7:$CM$7</definedName>
    <definedName name="Range_Komponent_Materialer">Beregner!$D$24:$D$28</definedName>
    <definedName name="Range_Materiale_Genbrug">Beregner!$J$24:$J$28</definedName>
    <definedName name="Range_Materiale_År">Materialedata!$AJ$2:$DL$2</definedName>
    <definedName name="Range_Materiale_ÅrligeEmissioner">Materialedata!$AJ$3:$DL$49</definedName>
    <definedName name="SK_Enhedspris">Tidstabel!$CB$2</definedName>
    <definedName name="SK_Genoprettelse">Tidstabel!$CI$2</definedName>
    <definedName name="SK_Levetid">Tidstabel!$CE$2</definedName>
    <definedName name="SK_Materiale">Tidstabel!$CC$2</definedName>
    <definedName name="SK_Titel">Tidstabel!$E$1</definedName>
    <definedName name="SK_Vedligehold_i">Tidstabel!$CD$2</definedName>
    <definedName name="SK_Vedligehold_p">Tidstabel!$CF$2</definedName>
    <definedName name="VS_Enhedspris">Tidstabel!$BD$2</definedName>
    <definedName name="VS_Genoprettelse">Tidstabel!$BK$2</definedName>
    <definedName name="VS_Levetid">Tidstabel!$BG$2</definedName>
    <definedName name="VS_Materiale">Tidstabel!$BE$2</definedName>
    <definedName name="VS_Titel">Tidstabel!$H$1</definedName>
    <definedName name="VS_Vedligehold_i">Tidstabel!$BF$2</definedName>
    <definedName name="VS_Vedligehold_p">Tidstabel!$BH$2</definedName>
    <definedName name="Vælg_Afstandsprofil">Liste_Afstandsprofil[Afstandsprofil]</definedName>
    <definedName name="Vælg_EksisterendeFacade">Liste_EksisterendeFacade[Eksisterende facade og isolering]</definedName>
    <definedName name="Vælg_Etableringsår">Liste_Etableringsår[Etableringsår]</definedName>
    <definedName name="Vælg_Facadebeklædning">Liste_Facadebeklædning[Facadebeklædning]</definedName>
    <definedName name="Vælg_Isolering">Liste_Isolering[Efterisolering]</definedName>
    <definedName name="Vælg_Isoleringstykkelse">Liste_Isoleringstykkelse[Isoleringstykkelse]</definedName>
    <definedName name="Vælg_SamletIsolering">Liste_SamletIsolering[Samlet isolering]</definedName>
    <definedName name="Vælg_Skelet">Liste_Skelet[Skelet]</definedName>
    <definedName name="Vælg_Tidshorisont">Liste_Tidshorisont[Tidshorisont]</definedName>
    <definedName name="Vælg_Vindspærre">Liste_Vindspærre[Vindspærre]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8" i="8" l="1"/>
  <c r="AC38" i="11"/>
  <c r="AC17" i="11"/>
  <c r="AC18" i="11" s="1"/>
  <c r="AC19" i="11" s="1"/>
  <c r="AC14" i="11"/>
  <c r="AC15" i="11" s="1"/>
  <c r="AC16" i="11" s="1"/>
  <c r="AC40" i="11"/>
  <c r="AD7" i="27"/>
  <c r="AT7" i="27"/>
  <c r="CE7" i="27"/>
  <c r="AE7" i="27"/>
  <c r="AF4" i="8" l="1"/>
  <c r="AF30" i="8"/>
  <c r="K14" i="11" l="1"/>
  <c r="I39" i="11"/>
  <c r="AE39" i="11" s="1"/>
  <c r="AF39" i="11" s="1"/>
  <c r="I40" i="11"/>
  <c r="AE40" i="11" s="1"/>
  <c r="AF40" i="11" s="1"/>
  <c r="CM7" i="16" l="1"/>
  <c r="A4" i="28" a="1"/>
  <c r="A4" i="28" s="1"/>
  <c r="I22" i="16"/>
  <c r="I21" i="16"/>
  <c r="I20" i="16"/>
  <c r="I19" i="16"/>
  <c r="I18" i="16"/>
  <c r="I17" i="16"/>
  <c r="I16" i="16"/>
  <c r="I15" i="16"/>
  <c r="I14" i="16"/>
  <c r="I13" i="16"/>
  <c r="I12" i="16"/>
  <c r="I11" i="16"/>
  <c r="I10" i="16"/>
  <c r="I9" i="16"/>
  <c r="I8" i="16"/>
  <c r="P40" i="11"/>
  <c r="U40" i="11" s="1"/>
  <c r="O40" i="11"/>
  <c r="T40" i="11" s="1"/>
  <c r="N40" i="11"/>
  <c r="S40" i="11" s="1"/>
  <c r="K40" i="11"/>
  <c r="Q40" i="11" s="1"/>
  <c r="P39" i="11"/>
  <c r="O39" i="11"/>
  <c r="N39" i="11"/>
  <c r="K39" i="11"/>
  <c r="P19" i="11"/>
  <c r="O19" i="11"/>
  <c r="N19" i="11"/>
  <c r="K19" i="11"/>
  <c r="P18" i="11"/>
  <c r="O18" i="11"/>
  <c r="N18" i="11"/>
  <c r="K18" i="11"/>
  <c r="P17" i="11"/>
  <c r="O17" i="11"/>
  <c r="N17" i="11"/>
  <c r="K17" i="11"/>
  <c r="P16" i="11"/>
  <c r="O16" i="11"/>
  <c r="N16" i="11"/>
  <c r="K16" i="11"/>
  <c r="P15" i="11"/>
  <c r="O15" i="11"/>
  <c r="N15" i="11"/>
  <c r="K15" i="11"/>
  <c r="P14" i="11"/>
  <c r="O14" i="11"/>
  <c r="N14" i="11"/>
  <c r="P7" i="11"/>
  <c r="O7" i="11"/>
  <c r="N7" i="11"/>
  <c r="K7" i="11"/>
  <c r="P6" i="11"/>
  <c r="N6" i="11"/>
  <c r="K6" i="11"/>
  <c r="O5" i="11"/>
  <c r="K5" i="11"/>
  <c r="K28" i="8"/>
  <c r="K27" i="8"/>
  <c r="K26" i="8"/>
  <c r="K25" i="8"/>
  <c r="K24" i="8"/>
  <c r="I23" i="16"/>
  <c r="BC7" i="27" l="1"/>
  <c r="BK7" i="27"/>
  <c r="BS7" i="27"/>
  <c r="CA7" i="27"/>
  <c r="CI7" i="27"/>
  <c r="AO7" i="27" l="1"/>
  <c r="AP7" i="27" s="1"/>
  <c r="K18" i="31" l="1"/>
  <c r="AS7" i="27" s="1"/>
  <c r="M49" i="11"/>
  <c r="M48" i="11"/>
  <c r="M47" i="11"/>
  <c r="M46" i="11"/>
  <c r="M45" i="11"/>
  <c r="M44" i="11"/>
  <c r="M43" i="11"/>
  <c r="M42" i="11"/>
  <c r="M41" i="11"/>
  <c r="M40" i="11"/>
  <c r="M39" i="11"/>
  <c r="M38" i="11"/>
  <c r="M37" i="11"/>
  <c r="M36" i="11"/>
  <c r="M35" i="11"/>
  <c r="M34" i="11"/>
  <c r="M33" i="11"/>
  <c r="M32" i="11"/>
  <c r="M31" i="11"/>
  <c r="M30" i="11"/>
  <c r="M29" i="11"/>
  <c r="M28" i="11"/>
  <c r="M27" i="11"/>
  <c r="M26" i="11"/>
  <c r="M25" i="11"/>
  <c r="M24" i="11"/>
  <c r="M23" i="11"/>
  <c r="M22" i="11"/>
  <c r="M21" i="11"/>
  <c r="M20" i="11"/>
  <c r="M19" i="11"/>
  <c r="M18" i="11"/>
  <c r="M17" i="11"/>
  <c r="M16" i="11"/>
  <c r="M15" i="11"/>
  <c r="M14" i="11"/>
  <c r="M13" i="11"/>
  <c r="M12" i="11"/>
  <c r="M11" i="11"/>
  <c r="M9" i="11"/>
  <c r="M8" i="11"/>
  <c r="M7" i="11"/>
  <c r="M6" i="11"/>
  <c r="M5" i="11"/>
  <c r="M4" i="11"/>
  <c r="M3" i="11"/>
  <c r="O2" i="31"/>
  <c r="N2" i="31"/>
  <c r="M2" i="31"/>
  <c r="AY7" i="27"/>
  <c r="BG7" i="27"/>
  <c r="BO7" i="27"/>
  <c r="BW7" i="27"/>
  <c r="CB87" i="27"/>
  <c r="BT87" i="27"/>
  <c r="BL87" i="27"/>
  <c r="BD87" i="27"/>
  <c r="AV87" i="27"/>
  <c r="CB86" i="27"/>
  <c r="BT86" i="27"/>
  <c r="BL86" i="27"/>
  <c r="BD86" i="27"/>
  <c r="AV86" i="27"/>
  <c r="CB85" i="27"/>
  <c r="BT85" i="27"/>
  <c r="BL85" i="27"/>
  <c r="BD85" i="27"/>
  <c r="AV85" i="27"/>
  <c r="CB84" i="27"/>
  <c r="BT84" i="27"/>
  <c r="BL84" i="27"/>
  <c r="BD84" i="27"/>
  <c r="AV84" i="27"/>
  <c r="CB83" i="27"/>
  <c r="BT83" i="27"/>
  <c r="BL83" i="27"/>
  <c r="BD83" i="27"/>
  <c r="AV83" i="27"/>
  <c r="CB82" i="27"/>
  <c r="BT82" i="27"/>
  <c r="BL82" i="27"/>
  <c r="BD82" i="27"/>
  <c r="AV82" i="27"/>
  <c r="CB81" i="27"/>
  <c r="BT81" i="27"/>
  <c r="BL81" i="27"/>
  <c r="BD81" i="27"/>
  <c r="AV81" i="27"/>
  <c r="CB80" i="27"/>
  <c r="BT80" i="27"/>
  <c r="BL80" i="27"/>
  <c r="BD80" i="27"/>
  <c r="AV80" i="27"/>
  <c r="CB79" i="27"/>
  <c r="BT79" i="27"/>
  <c r="BL79" i="27"/>
  <c r="BD79" i="27"/>
  <c r="AV79" i="27"/>
  <c r="CB78" i="27"/>
  <c r="BT78" i="27"/>
  <c r="BL78" i="27"/>
  <c r="BD78" i="27"/>
  <c r="AV78" i="27"/>
  <c r="CB77" i="27"/>
  <c r="BT77" i="27"/>
  <c r="BL77" i="27"/>
  <c r="BD77" i="27"/>
  <c r="AV77" i="27"/>
  <c r="CB76" i="27"/>
  <c r="BT76" i="27"/>
  <c r="BL76" i="27"/>
  <c r="BD76" i="27"/>
  <c r="AV76" i="27"/>
  <c r="CB75" i="27"/>
  <c r="BT75" i="27"/>
  <c r="BL75" i="27"/>
  <c r="BD75" i="27"/>
  <c r="AV75" i="27"/>
  <c r="CB74" i="27"/>
  <c r="BT74" i="27"/>
  <c r="BL74" i="27"/>
  <c r="BD74" i="27"/>
  <c r="AV74" i="27"/>
  <c r="CB73" i="27"/>
  <c r="BT73" i="27"/>
  <c r="BL73" i="27"/>
  <c r="BD73" i="27"/>
  <c r="AV73" i="27"/>
  <c r="CB72" i="27"/>
  <c r="BT72" i="27"/>
  <c r="BL72" i="27"/>
  <c r="BD72" i="27"/>
  <c r="AV72" i="27"/>
  <c r="CB71" i="27"/>
  <c r="BT71" i="27"/>
  <c r="BL71" i="27"/>
  <c r="BD71" i="27"/>
  <c r="AV71" i="27"/>
  <c r="CB70" i="27"/>
  <c r="BT70" i="27"/>
  <c r="BL70" i="27"/>
  <c r="BD70" i="27"/>
  <c r="AV70" i="27"/>
  <c r="CB69" i="27"/>
  <c r="BT69" i="27"/>
  <c r="BL69" i="27"/>
  <c r="BD69" i="27"/>
  <c r="AV69" i="27"/>
  <c r="CB68" i="27"/>
  <c r="BT68" i="27"/>
  <c r="BL68" i="27"/>
  <c r="BD68" i="27"/>
  <c r="AV68" i="27"/>
  <c r="CB67" i="27"/>
  <c r="BT67" i="27"/>
  <c r="BL67" i="27"/>
  <c r="BD67" i="27"/>
  <c r="AV67" i="27"/>
  <c r="CB66" i="27"/>
  <c r="BT66" i="27"/>
  <c r="BL66" i="27"/>
  <c r="BD66" i="27"/>
  <c r="AV66" i="27"/>
  <c r="CB65" i="27"/>
  <c r="BT65" i="27"/>
  <c r="BL65" i="27"/>
  <c r="BD65" i="27"/>
  <c r="AV65" i="27"/>
  <c r="CB64" i="27"/>
  <c r="BT64" i="27"/>
  <c r="BL64" i="27"/>
  <c r="BD64" i="27"/>
  <c r="AV64" i="27"/>
  <c r="CB63" i="27"/>
  <c r="BT63" i="27"/>
  <c r="BL63" i="27"/>
  <c r="BD63" i="27"/>
  <c r="AV63" i="27"/>
  <c r="CB62" i="27"/>
  <c r="BT62" i="27"/>
  <c r="BL62" i="27"/>
  <c r="BD62" i="27"/>
  <c r="AV62" i="27"/>
  <c r="CB61" i="27"/>
  <c r="BT61" i="27"/>
  <c r="BL61" i="27"/>
  <c r="BD61" i="27"/>
  <c r="AV61" i="27"/>
  <c r="CB60" i="27"/>
  <c r="BT60" i="27"/>
  <c r="BL60" i="27"/>
  <c r="BD60" i="27"/>
  <c r="AV60" i="27"/>
  <c r="CB59" i="27"/>
  <c r="BT59" i="27"/>
  <c r="BL59" i="27"/>
  <c r="BD59" i="27"/>
  <c r="AV59" i="27"/>
  <c r="CB58" i="27"/>
  <c r="BT58" i="27"/>
  <c r="BL58" i="27"/>
  <c r="BD58" i="27"/>
  <c r="AV58" i="27"/>
  <c r="CB57" i="27"/>
  <c r="BT57" i="27"/>
  <c r="BL57" i="27"/>
  <c r="BD57" i="27"/>
  <c r="AV57" i="27"/>
  <c r="CB56" i="27"/>
  <c r="BT56" i="27"/>
  <c r="BL56" i="27"/>
  <c r="BD56" i="27"/>
  <c r="AV56" i="27"/>
  <c r="CB55" i="27"/>
  <c r="BT55" i="27"/>
  <c r="BL55" i="27"/>
  <c r="BD55" i="27"/>
  <c r="AV55" i="27"/>
  <c r="CB54" i="27"/>
  <c r="BT54" i="27"/>
  <c r="BL54" i="27"/>
  <c r="BD54" i="27"/>
  <c r="AV54" i="27"/>
  <c r="CB53" i="27"/>
  <c r="BT53" i="27"/>
  <c r="BL53" i="27"/>
  <c r="BD53" i="27"/>
  <c r="AV53" i="27"/>
  <c r="CB52" i="27"/>
  <c r="BT52" i="27"/>
  <c r="BL52" i="27"/>
  <c r="BD52" i="27"/>
  <c r="AV52" i="27"/>
  <c r="CB51" i="27"/>
  <c r="BT51" i="27"/>
  <c r="BL51" i="27"/>
  <c r="BD51" i="27"/>
  <c r="AV51" i="27"/>
  <c r="CB50" i="27"/>
  <c r="BT50" i="27"/>
  <c r="BL50" i="27"/>
  <c r="BD50" i="27"/>
  <c r="AV50" i="27"/>
  <c r="CB49" i="27"/>
  <c r="BT49" i="27"/>
  <c r="BL49" i="27"/>
  <c r="BD49" i="27"/>
  <c r="AV49" i="27"/>
  <c r="CB48" i="27"/>
  <c r="BT48" i="27"/>
  <c r="BL48" i="27"/>
  <c r="BD48" i="27"/>
  <c r="AV48" i="27"/>
  <c r="CB47" i="27"/>
  <c r="BT47" i="27"/>
  <c r="BL47" i="27"/>
  <c r="BD47" i="27"/>
  <c r="AV47" i="27"/>
  <c r="CB46" i="27"/>
  <c r="BT46" i="27"/>
  <c r="BL46" i="27"/>
  <c r="BD46" i="27"/>
  <c r="AV46" i="27"/>
  <c r="CB45" i="27"/>
  <c r="BT45" i="27"/>
  <c r="BL45" i="27"/>
  <c r="BD45" i="27"/>
  <c r="AV45" i="27"/>
  <c r="CB44" i="27"/>
  <c r="BT44" i="27"/>
  <c r="BL44" i="27"/>
  <c r="BD44" i="27"/>
  <c r="AV44" i="27"/>
  <c r="CB43" i="27"/>
  <c r="BT43" i="27"/>
  <c r="BL43" i="27"/>
  <c r="BD43" i="27"/>
  <c r="AV43" i="27"/>
  <c r="CB42" i="27"/>
  <c r="BT42" i="27"/>
  <c r="BL42" i="27"/>
  <c r="BD42" i="27"/>
  <c r="AV42" i="27"/>
  <c r="CB41" i="27"/>
  <c r="BT41" i="27"/>
  <c r="BL41" i="27"/>
  <c r="BD41" i="27"/>
  <c r="AV41" i="27"/>
  <c r="CB40" i="27"/>
  <c r="BT40" i="27"/>
  <c r="BL40" i="27"/>
  <c r="BD40" i="27"/>
  <c r="AV40" i="27"/>
  <c r="CB39" i="27"/>
  <c r="BT39" i="27"/>
  <c r="BL39" i="27"/>
  <c r="BD39" i="27"/>
  <c r="AV39" i="27"/>
  <c r="CB38" i="27"/>
  <c r="BT38" i="27"/>
  <c r="BL38" i="27"/>
  <c r="BD38" i="27"/>
  <c r="AV38" i="27"/>
  <c r="CB37" i="27"/>
  <c r="BT37" i="27"/>
  <c r="BL37" i="27"/>
  <c r="BD37" i="27"/>
  <c r="AV37" i="27"/>
  <c r="CB36" i="27"/>
  <c r="BT36" i="27"/>
  <c r="BL36" i="27"/>
  <c r="BD36" i="27"/>
  <c r="AV36" i="27"/>
  <c r="CB35" i="27"/>
  <c r="BT35" i="27"/>
  <c r="BL35" i="27"/>
  <c r="BD35" i="27"/>
  <c r="AV35" i="27"/>
  <c r="CB34" i="27"/>
  <c r="BT34" i="27"/>
  <c r="BL34" i="27"/>
  <c r="BD34" i="27"/>
  <c r="AV34" i="27"/>
  <c r="CB33" i="27"/>
  <c r="BT33" i="27"/>
  <c r="BL33" i="27"/>
  <c r="BD33" i="27"/>
  <c r="AV33" i="27"/>
  <c r="CB32" i="27"/>
  <c r="BT32" i="27"/>
  <c r="BL32" i="27"/>
  <c r="BD32" i="27"/>
  <c r="AV32" i="27"/>
  <c r="CB31" i="27"/>
  <c r="BT31" i="27"/>
  <c r="BL31" i="27"/>
  <c r="BD31" i="27"/>
  <c r="AV31" i="27"/>
  <c r="CB30" i="27"/>
  <c r="BT30" i="27"/>
  <c r="BL30" i="27"/>
  <c r="BD30" i="27"/>
  <c r="AV30" i="27"/>
  <c r="CB29" i="27"/>
  <c r="BT29" i="27"/>
  <c r="BL29" i="27"/>
  <c r="BD29" i="27"/>
  <c r="AV29" i="27"/>
  <c r="CB28" i="27"/>
  <c r="BT28" i="27"/>
  <c r="BL28" i="27"/>
  <c r="BD28" i="27"/>
  <c r="AV28" i="27"/>
  <c r="CB27" i="27"/>
  <c r="BT27" i="27"/>
  <c r="BL27" i="27"/>
  <c r="BD27" i="27"/>
  <c r="AV27" i="27"/>
  <c r="CB26" i="27"/>
  <c r="BT26" i="27"/>
  <c r="BL26" i="27"/>
  <c r="BD26" i="27"/>
  <c r="AV26" i="27"/>
  <c r="CB25" i="27"/>
  <c r="BT25" i="27"/>
  <c r="BL25" i="27"/>
  <c r="BD25" i="27"/>
  <c r="AV25" i="27"/>
  <c r="CB24" i="27"/>
  <c r="BT24" i="27"/>
  <c r="BL24" i="27"/>
  <c r="BD24" i="27"/>
  <c r="AV24" i="27"/>
  <c r="CB23" i="27"/>
  <c r="BT23" i="27"/>
  <c r="BL23" i="27"/>
  <c r="BD23" i="27"/>
  <c r="AV23" i="27"/>
  <c r="CB22" i="27"/>
  <c r="BT22" i="27"/>
  <c r="BL22" i="27"/>
  <c r="BD22" i="27"/>
  <c r="AV22" i="27"/>
  <c r="CB21" i="27"/>
  <c r="BT21" i="27"/>
  <c r="BL21" i="27"/>
  <c r="BD21" i="27"/>
  <c r="AV21" i="27"/>
  <c r="CB20" i="27"/>
  <c r="BT20" i="27"/>
  <c r="BL20" i="27"/>
  <c r="BD20" i="27"/>
  <c r="AV20" i="27"/>
  <c r="CB19" i="27"/>
  <c r="BT19" i="27"/>
  <c r="BL19" i="27"/>
  <c r="BD19" i="27"/>
  <c r="AV19" i="27"/>
  <c r="CB18" i="27"/>
  <c r="BT18" i="27"/>
  <c r="BL18" i="27"/>
  <c r="BD18" i="27"/>
  <c r="AV18" i="27"/>
  <c r="CB17" i="27"/>
  <c r="BT17" i="27"/>
  <c r="BL17" i="27"/>
  <c r="BD17" i="27"/>
  <c r="AV17" i="27"/>
  <c r="CB16" i="27"/>
  <c r="BT16" i="27"/>
  <c r="BL16" i="27"/>
  <c r="BD16" i="27"/>
  <c r="AV16" i="27"/>
  <c r="CB15" i="27"/>
  <c r="BT15" i="27"/>
  <c r="BL15" i="27"/>
  <c r="BD15" i="27"/>
  <c r="AV15" i="27"/>
  <c r="CB14" i="27"/>
  <c r="BT14" i="27"/>
  <c r="BL14" i="27"/>
  <c r="BD14" i="27"/>
  <c r="AV14" i="27"/>
  <c r="CB13" i="27"/>
  <c r="BT13" i="27"/>
  <c r="BL13" i="27"/>
  <c r="BD13" i="27"/>
  <c r="AV13" i="27"/>
  <c r="CB12" i="27"/>
  <c r="BT12" i="27"/>
  <c r="BL12" i="27"/>
  <c r="BD12" i="27"/>
  <c r="AV12" i="27"/>
  <c r="CB11" i="27"/>
  <c r="BT11" i="27"/>
  <c r="BL11" i="27"/>
  <c r="BD11" i="27"/>
  <c r="AV11" i="27"/>
  <c r="CB10" i="27"/>
  <c r="BT10" i="27"/>
  <c r="BL10" i="27"/>
  <c r="BD10" i="27"/>
  <c r="AV10" i="27"/>
  <c r="CB9" i="27"/>
  <c r="BT9" i="27"/>
  <c r="BL9" i="27"/>
  <c r="BD9" i="27"/>
  <c r="AV9" i="27"/>
  <c r="CB8" i="27"/>
  <c r="BT8" i="27"/>
  <c r="BL8" i="27"/>
  <c r="BD8" i="27"/>
  <c r="AV8" i="27"/>
  <c r="CH7" i="27"/>
  <c r="BZ7" i="27"/>
  <c r="BR7" i="27"/>
  <c r="BJ7" i="27"/>
  <c r="BB7" i="27"/>
  <c r="AU7" i="27"/>
  <c r="AQ8" i="27"/>
  <c r="AQ9" i="27"/>
  <c r="AQ10" i="27"/>
  <c r="AQ11" i="27"/>
  <c r="AQ12" i="27"/>
  <c r="AQ13" i="27"/>
  <c r="AQ14" i="27"/>
  <c r="AQ15" i="27"/>
  <c r="AQ16" i="27"/>
  <c r="AQ17" i="27"/>
  <c r="AQ18" i="27"/>
  <c r="AQ19" i="27"/>
  <c r="AQ20" i="27"/>
  <c r="AQ21" i="27"/>
  <c r="AQ22" i="27"/>
  <c r="AQ23" i="27"/>
  <c r="AQ24" i="27"/>
  <c r="AQ25" i="27"/>
  <c r="AQ26" i="27"/>
  <c r="AQ27" i="27"/>
  <c r="AQ28" i="27"/>
  <c r="AQ29" i="27"/>
  <c r="AQ30" i="27"/>
  <c r="AQ31" i="27"/>
  <c r="AQ32" i="27"/>
  <c r="AQ33" i="27"/>
  <c r="AQ34" i="27"/>
  <c r="AQ35" i="27"/>
  <c r="AQ36" i="27"/>
  <c r="AQ37" i="27"/>
  <c r="AQ38" i="27"/>
  <c r="AQ39" i="27"/>
  <c r="AQ40" i="27"/>
  <c r="AQ41" i="27"/>
  <c r="AQ42" i="27"/>
  <c r="AQ43" i="27"/>
  <c r="AQ44" i="27"/>
  <c r="AQ45" i="27"/>
  <c r="AQ46" i="27"/>
  <c r="AQ47" i="27"/>
  <c r="AQ48" i="27"/>
  <c r="AQ49" i="27"/>
  <c r="AQ50" i="27"/>
  <c r="AQ51" i="27"/>
  <c r="AQ52" i="27"/>
  <c r="AQ53" i="27"/>
  <c r="AQ54" i="27"/>
  <c r="AQ55" i="27"/>
  <c r="AQ56" i="27"/>
  <c r="AQ57" i="27"/>
  <c r="AQ58" i="27"/>
  <c r="AQ59" i="27"/>
  <c r="AQ60" i="27"/>
  <c r="AQ61" i="27"/>
  <c r="AQ62" i="27"/>
  <c r="AQ63" i="27"/>
  <c r="AQ64" i="27"/>
  <c r="AQ65" i="27"/>
  <c r="AQ66" i="27"/>
  <c r="AQ67" i="27"/>
  <c r="AQ68" i="27"/>
  <c r="AQ69" i="27"/>
  <c r="AQ70" i="27"/>
  <c r="AQ71" i="27"/>
  <c r="AQ72" i="27"/>
  <c r="AQ73" i="27"/>
  <c r="AQ74" i="27"/>
  <c r="AQ75" i="27"/>
  <c r="AQ76" i="27"/>
  <c r="AQ77" i="27"/>
  <c r="AQ78" i="27"/>
  <c r="AQ79" i="27"/>
  <c r="AQ80" i="27"/>
  <c r="AQ81" i="27"/>
  <c r="AQ82" i="27"/>
  <c r="AQ83" i="27"/>
  <c r="AQ84" i="27"/>
  <c r="AQ85" i="27"/>
  <c r="AQ86" i="27"/>
  <c r="AQ87" i="27"/>
  <c r="AG7" i="27"/>
  <c r="AG8" i="27"/>
  <c r="AG9" i="27"/>
  <c r="AG10" i="27"/>
  <c r="AG11" i="27"/>
  <c r="AG12" i="27"/>
  <c r="AG13" i="27"/>
  <c r="AG14" i="27"/>
  <c r="AG15" i="27"/>
  <c r="AG16" i="27"/>
  <c r="AG17" i="27"/>
  <c r="AG18" i="27"/>
  <c r="AG19" i="27"/>
  <c r="AG20" i="27"/>
  <c r="AG21" i="27"/>
  <c r="AG22" i="27"/>
  <c r="AG23" i="27"/>
  <c r="AG24" i="27"/>
  <c r="AG25" i="27"/>
  <c r="AG26" i="27"/>
  <c r="AG27" i="27"/>
  <c r="AG28" i="27"/>
  <c r="AG29" i="27"/>
  <c r="AG30" i="27"/>
  <c r="AG31" i="27"/>
  <c r="AG32" i="27"/>
  <c r="AG33" i="27"/>
  <c r="AG34" i="27"/>
  <c r="AG35" i="27"/>
  <c r="AG36" i="27"/>
  <c r="AG37" i="27"/>
  <c r="AG38" i="27"/>
  <c r="AG39" i="27"/>
  <c r="AG40" i="27"/>
  <c r="AG41" i="27"/>
  <c r="AG42" i="27"/>
  <c r="AG43" i="27"/>
  <c r="AG44" i="27"/>
  <c r="AG45" i="27"/>
  <c r="AG46" i="27"/>
  <c r="AG47" i="27"/>
  <c r="AG48" i="27"/>
  <c r="AG49" i="27"/>
  <c r="AG50" i="27"/>
  <c r="AG51" i="27"/>
  <c r="AG52" i="27"/>
  <c r="AG53" i="27"/>
  <c r="AG54" i="27"/>
  <c r="AG55" i="27"/>
  <c r="AG56" i="27"/>
  <c r="AG57" i="27"/>
  <c r="AG58" i="27"/>
  <c r="AG59" i="27"/>
  <c r="AG60" i="27"/>
  <c r="AG61" i="27"/>
  <c r="AG62" i="27"/>
  <c r="AG63" i="27"/>
  <c r="AG64" i="27"/>
  <c r="AG65" i="27"/>
  <c r="AG66" i="27"/>
  <c r="AG67" i="27"/>
  <c r="AG68" i="27"/>
  <c r="AG69" i="27"/>
  <c r="AG70" i="27"/>
  <c r="AG71" i="27"/>
  <c r="AG72" i="27"/>
  <c r="AG73" i="27"/>
  <c r="AG74" i="27"/>
  <c r="AG75" i="27"/>
  <c r="AG76" i="27"/>
  <c r="AG77" i="27"/>
  <c r="AG78" i="27"/>
  <c r="AG79" i="27"/>
  <c r="AG80" i="27"/>
  <c r="AG81" i="27"/>
  <c r="AG82" i="27"/>
  <c r="AG83" i="27"/>
  <c r="AG84" i="27"/>
  <c r="AG85" i="27"/>
  <c r="AG86" i="27"/>
  <c r="AG87" i="27"/>
  <c r="J7" i="27"/>
  <c r="J8" i="27"/>
  <c r="J9" i="27"/>
  <c r="J10" i="27"/>
  <c r="J11" i="27"/>
  <c r="J12" i="27"/>
  <c r="J13" i="27"/>
  <c r="J14" i="27"/>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54" i="27"/>
  <c r="J55" i="27"/>
  <c r="J56" i="27"/>
  <c r="J57" i="27"/>
  <c r="J58" i="27"/>
  <c r="J59" i="27"/>
  <c r="J60" i="27"/>
  <c r="J61" i="27"/>
  <c r="J62" i="27"/>
  <c r="J63" i="27"/>
  <c r="J64" i="27"/>
  <c r="J65" i="27"/>
  <c r="J66" i="27"/>
  <c r="J67" i="27"/>
  <c r="J68" i="27"/>
  <c r="J69" i="27"/>
  <c r="J70" i="27"/>
  <c r="J71" i="27"/>
  <c r="J72" i="27"/>
  <c r="J73" i="27"/>
  <c r="J74" i="27"/>
  <c r="J75" i="27"/>
  <c r="J76" i="27"/>
  <c r="J77" i="27"/>
  <c r="J78" i="27"/>
  <c r="J79" i="27"/>
  <c r="J80" i="27"/>
  <c r="J81" i="27"/>
  <c r="J82" i="27"/>
  <c r="J83" i="27"/>
  <c r="J84" i="27"/>
  <c r="J85" i="27"/>
  <c r="J86" i="27"/>
  <c r="J87" i="27"/>
  <c r="G26" i="8"/>
  <c r="C6" i="30" s="1"/>
  <c r="AS77" i="27" l="1"/>
  <c r="AS76" i="27"/>
  <c r="AS63" i="27"/>
  <c r="AS74" i="27"/>
  <c r="AS73" i="27"/>
  <c r="AS84" i="27"/>
  <c r="AS71" i="27"/>
  <c r="AS82" i="27"/>
  <c r="AS70" i="27"/>
  <c r="AS58" i="27"/>
  <c r="AS65" i="27"/>
  <c r="AS87" i="27"/>
  <c r="AS75" i="27"/>
  <c r="AS86" i="27"/>
  <c r="AS62" i="27"/>
  <c r="AS85" i="27"/>
  <c r="AS61" i="27"/>
  <c r="AS72" i="27"/>
  <c r="AS60" i="27"/>
  <c r="AS83" i="27"/>
  <c r="AS59" i="27"/>
  <c r="AS81" i="27"/>
  <c r="AS69" i="27"/>
  <c r="AS64" i="27"/>
  <c r="AS80" i="27"/>
  <c r="AS68" i="27"/>
  <c r="AS79" i="27"/>
  <c r="AS67" i="27"/>
  <c r="AS78" i="27"/>
  <c r="AS66" i="27"/>
  <c r="AJ65" i="27"/>
  <c r="AJ63" i="27"/>
  <c r="AJ86" i="27"/>
  <c r="AJ85" i="27"/>
  <c r="AJ71" i="27"/>
  <c r="AJ58" i="27"/>
  <c r="AJ67" i="27"/>
  <c r="AJ69" i="27"/>
  <c r="AJ83" i="27"/>
  <c r="AJ82" i="27"/>
  <c r="AJ75" i="27"/>
  <c r="AJ68" i="27"/>
  <c r="AJ70" i="27"/>
  <c r="AJ72" i="27"/>
  <c r="AJ87" i="27"/>
  <c r="AJ61" i="27"/>
  <c r="AJ66" i="27"/>
  <c r="AJ79" i="27"/>
  <c r="AJ78" i="27"/>
  <c r="AJ81" i="27"/>
  <c r="AJ80" i="27"/>
  <c r="AJ77" i="27"/>
  <c r="AJ74" i="27"/>
  <c r="AJ62" i="27"/>
  <c r="AJ73" i="27"/>
  <c r="AJ59" i="27"/>
  <c r="AJ60" i="27"/>
  <c r="AJ64" i="27"/>
  <c r="AJ76" i="27"/>
  <c r="AJ84" i="27"/>
  <c r="AJ44" i="27"/>
  <c r="AJ55" i="27"/>
  <c r="AJ45" i="27"/>
  <c r="AJ53" i="27"/>
  <c r="AJ42" i="27"/>
  <c r="AJ50" i="27"/>
  <c r="AJ57" i="27"/>
  <c r="AJ43" i="27"/>
  <c r="AJ40" i="27"/>
  <c r="AJ30" i="27"/>
  <c r="AJ36" i="27"/>
  <c r="AJ32" i="27"/>
  <c r="AJ48" i="27"/>
  <c r="AJ56" i="27"/>
  <c r="AJ33" i="27"/>
  <c r="AJ34" i="27"/>
  <c r="AJ39" i="27"/>
  <c r="AJ51" i="27"/>
  <c r="AJ47" i="27"/>
  <c r="AJ54" i="27"/>
  <c r="AJ52" i="27"/>
  <c r="AJ38" i="27"/>
  <c r="AJ37" i="27"/>
  <c r="AJ28" i="27"/>
  <c r="AJ35" i="27"/>
  <c r="AJ41" i="27"/>
  <c r="AJ29" i="27"/>
  <c r="AJ46" i="27"/>
  <c r="AJ31" i="27"/>
  <c r="AJ49" i="27"/>
  <c r="J2" i="27" l="1"/>
  <c r="BM2" i="27"/>
  <c r="BU2" i="27"/>
  <c r="CC2" i="27"/>
  <c r="AW2" i="27"/>
  <c r="BE2" i="27"/>
  <c r="D2" i="27" l="1"/>
  <c r="CE2" i="27" a="1"/>
  <c r="CE2" i="27" s="1"/>
  <c r="CE86" i="27" s="1"/>
  <c r="G2" i="27"/>
  <c r="BW2" i="27" a="1"/>
  <c r="BW2" i="27" s="1"/>
  <c r="AY2" i="27" a="1"/>
  <c r="AY2" i="27" s="1"/>
  <c r="BO2" i="27" a="1"/>
  <c r="BO2" i="27" s="1"/>
  <c r="F2" i="27"/>
  <c r="H2" i="27"/>
  <c r="BF2" i="27" a="1"/>
  <c r="BF2" i="27" s="1"/>
  <c r="BG2" i="27" a="1"/>
  <c r="BG2" i="27" s="1"/>
  <c r="BH2" i="27" a="1"/>
  <c r="BH2" i="27" s="1"/>
  <c r="E2" i="27"/>
  <c r="AX2" i="27" a="1"/>
  <c r="AX2" i="27" s="1"/>
  <c r="BN2" i="27" a="1"/>
  <c r="BN2" i="27" s="1"/>
  <c r="BP2" i="27" a="1"/>
  <c r="BP2" i="27" s="1"/>
  <c r="BX2" i="27" a="1"/>
  <c r="BX2" i="27" s="1"/>
  <c r="BV2" i="27" a="1"/>
  <c r="BV2" i="27" s="1"/>
  <c r="CD2" i="27" a="1"/>
  <c r="CD2" i="27" s="1"/>
  <c r="CF2" i="27" a="1"/>
  <c r="CF2" i="27" s="1"/>
  <c r="AJ8" i="27"/>
  <c r="AJ9" i="27"/>
  <c r="AJ10" i="27"/>
  <c r="AJ11" i="27"/>
  <c r="AJ12" i="27"/>
  <c r="AJ13" i="27"/>
  <c r="AJ14" i="27"/>
  <c r="AJ15" i="27"/>
  <c r="AJ16" i="27"/>
  <c r="AJ17" i="27"/>
  <c r="AJ18" i="27"/>
  <c r="AJ19" i="27"/>
  <c r="AJ20" i="27"/>
  <c r="AJ21" i="27"/>
  <c r="AJ22" i="27"/>
  <c r="AJ23" i="27"/>
  <c r="AJ24" i="27"/>
  <c r="AJ25" i="27"/>
  <c r="AJ26" i="27"/>
  <c r="AJ27" i="27"/>
  <c r="AH2" i="27"/>
  <c r="AF2" i="27"/>
  <c r="AG2" i="27"/>
  <c r="K9" i="31"/>
  <c r="K8" i="31"/>
  <c r="K7" i="31"/>
  <c r="K6" i="31"/>
  <c r="K5" i="31"/>
  <c r="AE7" i="11"/>
  <c r="CE40" i="27" l="1"/>
  <c r="CE47" i="27"/>
  <c r="CD47" i="27" s="1"/>
  <c r="CE50" i="27"/>
  <c r="CD50" i="27" s="1"/>
  <c r="CE54" i="27"/>
  <c r="CD54" i="27" s="1"/>
  <c r="CE55" i="27"/>
  <c r="CD55" i="27" s="1"/>
  <c r="CE52" i="27"/>
  <c r="CD52" i="27" s="1"/>
  <c r="CE20" i="27"/>
  <c r="CD20" i="27" s="1"/>
  <c r="CE79" i="27"/>
  <c r="CD79" i="27" s="1"/>
  <c r="CE43" i="27"/>
  <c r="CD43" i="27" s="1"/>
  <c r="CE66" i="27"/>
  <c r="CD66" i="27" s="1"/>
  <c r="CE48" i="27"/>
  <c r="CD48" i="27" s="1"/>
  <c r="CE59" i="27"/>
  <c r="CD59" i="27" s="1"/>
  <c r="CE18" i="27"/>
  <c r="CD18" i="27" s="1"/>
  <c r="CE71" i="27"/>
  <c r="CD71" i="27" s="1"/>
  <c r="CE31" i="27"/>
  <c r="CD31" i="27" s="1"/>
  <c r="CE83" i="27"/>
  <c r="CD83" i="27" s="1"/>
  <c r="CE57" i="27"/>
  <c r="CD57" i="27" s="1"/>
  <c r="CE80" i="27"/>
  <c r="CD80" i="27" s="1"/>
  <c r="CE38" i="27"/>
  <c r="CD38" i="27" s="1"/>
  <c r="CE70" i="27"/>
  <c r="CD70" i="27" s="1"/>
  <c r="CE28" i="27"/>
  <c r="CD28" i="27" s="1"/>
  <c r="CE42" i="27"/>
  <c r="CD42" i="27" s="1"/>
  <c r="CE16" i="27"/>
  <c r="CD16" i="27" s="1"/>
  <c r="CE9" i="27"/>
  <c r="CD9" i="27" s="1"/>
  <c r="CE22" i="27"/>
  <c r="CD22" i="27" s="1"/>
  <c r="CE13" i="27"/>
  <c r="CE11" i="27"/>
  <c r="CD11" i="27" s="1"/>
  <c r="CE25" i="27"/>
  <c r="CD25" i="27" s="1"/>
  <c r="CE35" i="27"/>
  <c r="CD35" i="27" s="1"/>
  <c r="CE30" i="27"/>
  <c r="CD30" i="27" s="1"/>
  <c r="CE19" i="27"/>
  <c r="CD19" i="27" s="1"/>
  <c r="CE32" i="27"/>
  <c r="CD32" i="27" s="1"/>
  <c r="CE24" i="27"/>
  <c r="CD24" i="27" s="1"/>
  <c r="CE8" i="27"/>
  <c r="CD8" i="27" s="1"/>
  <c r="CE73" i="27"/>
  <c r="CD73" i="27" s="1"/>
  <c r="CE85" i="27"/>
  <c r="CD85" i="27" s="1"/>
  <c r="CE65" i="27"/>
  <c r="CD65" i="27" s="1"/>
  <c r="CE78" i="27"/>
  <c r="CD78" i="27" s="1"/>
  <c r="CE69" i="27"/>
  <c r="CD69" i="27" s="1"/>
  <c r="CE75" i="27"/>
  <c r="CD75" i="27" s="1"/>
  <c r="CE87" i="27"/>
  <c r="CD87" i="27" s="1"/>
  <c r="CE67" i="27"/>
  <c r="CD67" i="27" s="1"/>
  <c r="CE64" i="27"/>
  <c r="CD64" i="27" s="1"/>
  <c r="CE76" i="27"/>
  <c r="CD76" i="27" s="1"/>
  <c r="CE61" i="27"/>
  <c r="CD61" i="27" s="1"/>
  <c r="CE44" i="27"/>
  <c r="CD44" i="27" s="1"/>
  <c r="CE37" i="27"/>
  <c r="CD37" i="27" s="1"/>
  <c r="CE46" i="27"/>
  <c r="CD46" i="27" s="1"/>
  <c r="CE81" i="27"/>
  <c r="CD81" i="27" s="1"/>
  <c r="CE62" i="27"/>
  <c r="CD62" i="27" s="1"/>
  <c r="CE29" i="27"/>
  <c r="CD29" i="27" s="1"/>
  <c r="CE56" i="27"/>
  <c r="CD56" i="27" s="1"/>
  <c r="CE49" i="27"/>
  <c r="CD49" i="27" s="1"/>
  <c r="CE15" i="27"/>
  <c r="CD15" i="27" s="1"/>
  <c r="CE82" i="27"/>
  <c r="CD82" i="27" s="1"/>
  <c r="CE74" i="27"/>
  <c r="CD74" i="27" s="1"/>
  <c r="CE41" i="27"/>
  <c r="CD41" i="27" s="1"/>
  <c r="CE21" i="27"/>
  <c r="CD21" i="27" s="1"/>
  <c r="CE45" i="27"/>
  <c r="CD45" i="27" s="1"/>
  <c r="CE27" i="27"/>
  <c r="CD27" i="27" s="1"/>
  <c r="CE60" i="27"/>
  <c r="CD60" i="27" s="1"/>
  <c r="CE68" i="27"/>
  <c r="CD68" i="27" s="1"/>
  <c r="CE17" i="27"/>
  <c r="CD17" i="27" s="1"/>
  <c r="CE53" i="27"/>
  <c r="CD53" i="27" s="1"/>
  <c r="CE34" i="27"/>
  <c r="CD34" i="27" s="1"/>
  <c r="CE10" i="27"/>
  <c r="CD10" i="27" s="1"/>
  <c r="CE39" i="27"/>
  <c r="CD39" i="27" s="1"/>
  <c r="CE84" i="27"/>
  <c r="CD84" i="27" s="1"/>
  <c r="CE58" i="27"/>
  <c r="CD58" i="27" s="1"/>
  <c r="CE33" i="27"/>
  <c r="CD33" i="27" s="1"/>
  <c r="CE12" i="27"/>
  <c r="CD12" i="27" s="1"/>
  <c r="CE14" i="27"/>
  <c r="CD14" i="27" s="1"/>
  <c r="CE77" i="27"/>
  <c r="CD77" i="27" s="1"/>
  <c r="CE63" i="27"/>
  <c r="CD63" i="27" s="1"/>
  <c r="CE23" i="27"/>
  <c r="CD23" i="27" s="1"/>
  <c r="CE36" i="27"/>
  <c r="CD36" i="27" s="1"/>
  <c r="CE26" i="27"/>
  <c r="CD26" i="27" s="1"/>
  <c r="CE51" i="27"/>
  <c r="CD51" i="27" s="1"/>
  <c r="CE72" i="27"/>
  <c r="CD72" i="27" s="1"/>
  <c r="AF59" i="27"/>
  <c r="AF69" i="27"/>
  <c r="AF83" i="27"/>
  <c r="AF78" i="27"/>
  <c r="AF87" i="27"/>
  <c r="AF85" i="27"/>
  <c r="AF71" i="27"/>
  <c r="AF58" i="27"/>
  <c r="AF66" i="27"/>
  <c r="AF70" i="27"/>
  <c r="AF81" i="27"/>
  <c r="AF77" i="27"/>
  <c r="AF68" i="27"/>
  <c r="AF80" i="27"/>
  <c r="AF84" i="27"/>
  <c r="AF74" i="27"/>
  <c r="AF60" i="27"/>
  <c r="AF75" i="27"/>
  <c r="AF86" i="27"/>
  <c r="AF79" i="27"/>
  <c r="AF72" i="27"/>
  <c r="AF62" i="27"/>
  <c r="AF76" i="27"/>
  <c r="AF63" i="27"/>
  <c r="AF65" i="27"/>
  <c r="AF82" i="27"/>
  <c r="AF64" i="27"/>
  <c r="AF67" i="27"/>
  <c r="AF73" i="27"/>
  <c r="AF61" i="27"/>
  <c r="BW81" i="27"/>
  <c r="BV81" i="27" s="1"/>
  <c r="BW69" i="27"/>
  <c r="BV69" i="27" s="1"/>
  <c r="BW62" i="27"/>
  <c r="BV62" i="27" s="1"/>
  <c r="BW85" i="27"/>
  <c r="BV85" i="27" s="1"/>
  <c r="BW61" i="27"/>
  <c r="BW71" i="27"/>
  <c r="BW70" i="27"/>
  <c r="BV70" i="27" s="1"/>
  <c r="BW80" i="27"/>
  <c r="BV80" i="27" s="1"/>
  <c r="BW68" i="27"/>
  <c r="BV68" i="27" s="1"/>
  <c r="BW75" i="27"/>
  <c r="BW59" i="27"/>
  <c r="BV59" i="27" s="1"/>
  <c r="BW79" i="27"/>
  <c r="BV79" i="27" s="1"/>
  <c r="BW67" i="27"/>
  <c r="BV67" i="27" s="1"/>
  <c r="BW60" i="27"/>
  <c r="BV60" i="27" s="1"/>
  <c r="BW78" i="27"/>
  <c r="BV78" i="27" s="1"/>
  <c r="BW66" i="27"/>
  <c r="BV66" i="27" s="1"/>
  <c r="BW87" i="27"/>
  <c r="BV87" i="27" s="1"/>
  <c r="BW77" i="27"/>
  <c r="BV77" i="27" s="1"/>
  <c r="BW65" i="27"/>
  <c r="BW72" i="27"/>
  <c r="BV72" i="27" s="1"/>
  <c r="BW76" i="27"/>
  <c r="BV76" i="27" s="1"/>
  <c r="BW64" i="27"/>
  <c r="BW63" i="27"/>
  <c r="BV63" i="27" s="1"/>
  <c r="BW86" i="27"/>
  <c r="BV86" i="27" s="1"/>
  <c r="BW74" i="27"/>
  <c r="BV74" i="27" s="1"/>
  <c r="BW73" i="27"/>
  <c r="BV73" i="27" s="1"/>
  <c r="BW84" i="27"/>
  <c r="BV84" i="27" s="1"/>
  <c r="BW83" i="27"/>
  <c r="BV83" i="27" s="1"/>
  <c r="BW82" i="27"/>
  <c r="BV82" i="27" s="1"/>
  <c r="BW58" i="27"/>
  <c r="BG79" i="27"/>
  <c r="BF79" i="27" s="1"/>
  <c r="BG67" i="27"/>
  <c r="BG59" i="27"/>
  <c r="BG58" i="27"/>
  <c r="BF58" i="27" s="1"/>
  <c r="BG78" i="27"/>
  <c r="BF78" i="27" s="1"/>
  <c r="BG66" i="27"/>
  <c r="BF66" i="27" s="1"/>
  <c r="BG73" i="27"/>
  <c r="BG72" i="27"/>
  <c r="BF72" i="27" s="1"/>
  <c r="BG70" i="27"/>
  <c r="BF70" i="27" s="1"/>
  <c r="BG68" i="27"/>
  <c r="BF68" i="27" s="1"/>
  <c r="BG77" i="27"/>
  <c r="BF77" i="27" s="1"/>
  <c r="BG65" i="27"/>
  <c r="BG85" i="27"/>
  <c r="BG71" i="27"/>
  <c r="BG76" i="27"/>
  <c r="BG64" i="27"/>
  <c r="BF64" i="27" s="1"/>
  <c r="BG61" i="27"/>
  <c r="BF61" i="27" s="1"/>
  <c r="BG84" i="27"/>
  <c r="BG83" i="27"/>
  <c r="BF83" i="27" s="1"/>
  <c r="BG82" i="27"/>
  <c r="BG81" i="27"/>
  <c r="BG87" i="27"/>
  <c r="BF87" i="27" s="1"/>
  <c r="BG75" i="27"/>
  <c r="BG63" i="27"/>
  <c r="BF63" i="27" s="1"/>
  <c r="BG69" i="27"/>
  <c r="BG80" i="27"/>
  <c r="BF80" i="27" s="1"/>
  <c r="BG86" i="27"/>
  <c r="BF86" i="27" s="1"/>
  <c r="BG74" i="27"/>
  <c r="BF74" i="27" s="1"/>
  <c r="BG62" i="27"/>
  <c r="BF62" i="27" s="1"/>
  <c r="BG60" i="27"/>
  <c r="CD86" i="27"/>
  <c r="BO86" i="27"/>
  <c r="BN86" i="27" s="1"/>
  <c r="BO74" i="27"/>
  <c r="BO62" i="27"/>
  <c r="BO67" i="27"/>
  <c r="BN67" i="27" s="1"/>
  <c r="BO65" i="27"/>
  <c r="BO87" i="27"/>
  <c r="BO63" i="27"/>
  <c r="BO85" i="27"/>
  <c r="BO73" i="27"/>
  <c r="BO61" i="27"/>
  <c r="BN61" i="27" s="1"/>
  <c r="BO80" i="27"/>
  <c r="BN80" i="27" s="1"/>
  <c r="BO84" i="27"/>
  <c r="BN84" i="27" s="1"/>
  <c r="BO72" i="27"/>
  <c r="BN72" i="27" s="1"/>
  <c r="BO60" i="27"/>
  <c r="BN60" i="27" s="1"/>
  <c r="BO83" i="27"/>
  <c r="BO71" i="27"/>
  <c r="BO59" i="27"/>
  <c r="BN59" i="27" s="1"/>
  <c r="BO68" i="27"/>
  <c r="BO82" i="27"/>
  <c r="BN82" i="27" s="1"/>
  <c r="BO70" i="27"/>
  <c r="BN70" i="27" s="1"/>
  <c r="BO58" i="27"/>
  <c r="BO81" i="27"/>
  <c r="BN81" i="27" s="1"/>
  <c r="BO69" i="27"/>
  <c r="BN69" i="27" s="1"/>
  <c r="BO79" i="27"/>
  <c r="BN79" i="27" s="1"/>
  <c r="BO78" i="27"/>
  <c r="BO66" i="27"/>
  <c r="BO77" i="27"/>
  <c r="BN77" i="27" s="1"/>
  <c r="BO76" i="27"/>
  <c r="BN76" i="27" s="1"/>
  <c r="BO64" i="27"/>
  <c r="BO75" i="27"/>
  <c r="BN75" i="27" s="1"/>
  <c r="AY78" i="27"/>
  <c r="AY66" i="27"/>
  <c r="AY84" i="27"/>
  <c r="AX84" i="27" s="1"/>
  <c r="AY77" i="27"/>
  <c r="AY65" i="27"/>
  <c r="AY70" i="27"/>
  <c r="AY76" i="27"/>
  <c r="AY64" i="27"/>
  <c r="AY72" i="27"/>
  <c r="AY59" i="27"/>
  <c r="AY87" i="27"/>
  <c r="AY75" i="27"/>
  <c r="AY63" i="27"/>
  <c r="AY86" i="27"/>
  <c r="AY74" i="27"/>
  <c r="AY62" i="27"/>
  <c r="AY83" i="27"/>
  <c r="AY82" i="27"/>
  <c r="AY81" i="27"/>
  <c r="AY85" i="27"/>
  <c r="AY73" i="27"/>
  <c r="AY61" i="27"/>
  <c r="AY80" i="27"/>
  <c r="AY68" i="27"/>
  <c r="AY60" i="27"/>
  <c r="AX60" i="27" s="1"/>
  <c r="AY71" i="27"/>
  <c r="AY58" i="27"/>
  <c r="AX58" i="27" s="1"/>
  <c r="AY79" i="27"/>
  <c r="AY67" i="27"/>
  <c r="AY69" i="27"/>
  <c r="N6" i="31" a="1"/>
  <c r="N6" i="31" s="1"/>
  <c r="M6" i="31" a="1"/>
  <c r="M6" i="31" s="1"/>
  <c r="O6" i="31" a="1"/>
  <c r="O6" i="31" s="1"/>
  <c r="M9" i="31" a="1"/>
  <c r="M9" i="31" s="1"/>
  <c r="N9" i="31" a="1"/>
  <c r="N9" i="31" s="1"/>
  <c r="O9" i="31" a="1"/>
  <c r="O9" i="31" s="1"/>
  <c r="N5" i="31" a="1"/>
  <c r="N5" i="31" s="1"/>
  <c r="O5" i="31" a="1"/>
  <c r="O5" i="31" s="1"/>
  <c r="O7" i="31" a="1"/>
  <c r="O7" i="31" s="1"/>
  <c r="M7" i="31" a="1"/>
  <c r="M7" i="31" s="1"/>
  <c r="N7" i="31" a="1"/>
  <c r="N7" i="31" s="1"/>
  <c r="N8" i="31" a="1"/>
  <c r="N8" i="31" s="1"/>
  <c r="O8" i="31" a="1"/>
  <c r="O8" i="31" s="1"/>
  <c r="M8" i="31" a="1"/>
  <c r="M8" i="31" s="1"/>
  <c r="AF39" i="27"/>
  <c r="AF56" i="27"/>
  <c r="AF9" i="27"/>
  <c r="AF40" i="27"/>
  <c r="AF57" i="27"/>
  <c r="AF28" i="27"/>
  <c r="AF19" i="27"/>
  <c r="AF41" i="27"/>
  <c r="AF21" i="27"/>
  <c r="AF42" i="27"/>
  <c r="AF29" i="27"/>
  <c r="AF45" i="27"/>
  <c r="AF30" i="27"/>
  <c r="AF49" i="27"/>
  <c r="AF50" i="27"/>
  <c r="AF31" i="27"/>
  <c r="AF52" i="27"/>
  <c r="AF32" i="27"/>
  <c r="AF51" i="27"/>
  <c r="AF33" i="27"/>
  <c r="AF37" i="27"/>
  <c r="AF54" i="27"/>
  <c r="AF43" i="27"/>
  <c r="AF38" i="27"/>
  <c r="AF55" i="27"/>
  <c r="AF12" i="27"/>
  <c r="AF48" i="27"/>
  <c r="AF27" i="27"/>
  <c r="AF26" i="27"/>
  <c r="AF46" i="27"/>
  <c r="AF15" i="27"/>
  <c r="AF53" i="27"/>
  <c r="AF17" i="27"/>
  <c r="AF14" i="27"/>
  <c r="AF44" i="27"/>
  <c r="AF7" i="27"/>
  <c r="AF25" i="27"/>
  <c r="AF20" i="27"/>
  <c r="AF18" i="27"/>
  <c r="AF36" i="27"/>
  <c r="AF13" i="27"/>
  <c r="AF8" i="27"/>
  <c r="AF35" i="27"/>
  <c r="AF23" i="27"/>
  <c r="AF47" i="27"/>
  <c r="AF11" i="27"/>
  <c r="AF34" i="27"/>
  <c r="AF22" i="27"/>
  <c r="AF24" i="27"/>
  <c r="AF10" i="27"/>
  <c r="AF16" i="27"/>
  <c r="BG46" i="27"/>
  <c r="BG34" i="27"/>
  <c r="BG22" i="27"/>
  <c r="BG10" i="27"/>
  <c r="BG53" i="27"/>
  <c r="BG16" i="27"/>
  <c r="BG14" i="27"/>
  <c r="BG57" i="27"/>
  <c r="BF57" i="27" s="1"/>
  <c r="BG45" i="27"/>
  <c r="BG33" i="27"/>
  <c r="BG21" i="27"/>
  <c r="BG9" i="27"/>
  <c r="BG17" i="27"/>
  <c r="BG28" i="27"/>
  <c r="BG15" i="27"/>
  <c r="BG25" i="27"/>
  <c r="BG48" i="27"/>
  <c r="BG11" i="27"/>
  <c r="BG56" i="27"/>
  <c r="BG44" i="27"/>
  <c r="BG32" i="27"/>
  <c r="BG20" i="27"/>
  <c r="BG8" i="27"/>
  <c r="BG38" i="27"/>
  <c r="BG35" i="27"/>
  <c r="BG55" i="27"/>
  <c r="BG43" i="27"/>
  <c r="BG31" i="27"/>
  <c r="BG19" i="27"/>
  <c r="BG41" i="27"/>
  <c r="BG40" i="27"/>
  <c r="BG27" i="27"/>
  <c r="BG50" i="27"/>
  <c r="BG26" i="27"/>
  <c r="BG13" i="27"/>
  <c r="BG36" i="27"/>
  <c r="BG54" i="27"/>
  <c r="BG42" i="27"/>
  <c r="BG30" i="27"/>
  <c r="BG18" i="27"/>
  <c r="BG29" i="27"/>
  <c r="BG52" i="27"/>
  <c r="BG51" i="27"/>
  <c r="BG39" i="27"/>
  <c r="BG49" i="27"/>
  <c r="BG37" i="27"/>
  <c r="BG24" i="27"/>
  <c r="BG12" i="27"/>
  <c r="BG47" i="27"/>
  <c r="BG23" i="27"/>
  <c r="BW50" i="27"/>
  <c r="BW38" i="27"/>
  <c r="BW26" i="27"/>
  <c r="BW14" i="27"/>
  <c r="BW49" i="27"/>
  <c r="BW37" i="27"/>
  <c r="BW25" i="27"/>
  <c r="BW13" i="27"/>
  <c r="BW48" i="27"/>
  <c r="BW36" i="27"/>
  <c r="BW24" i="27"/>
  <c r="BW12" i="27"/>
  <c r="BW47" i="27"/>
  <c r="BW35" i="27"/>
  <c r="BW23" i="27"/>
  <c r="BW11" i="27"/>
  <c r="BW46" i="27"/>
  <c r="BW34" i="27"/>
  <c r="BW22" i="27"/>
  <c r="BW10" i="27"/>
  <c r="BW57" i="27"/>
  <c r="BW45" i="27"/>
  <c r="BW33" i="27"/>
  <c r="BW21" i="27"/>
  <c r="BW9" i="27"/>
  <c r="BW56" i="27"/>
  <c r="BW44" i="27"/>
  <c r="BW32" i="27"/>
  <c r="BW20" i="27"/>
  <c r="BW8" i="27"/>
  <c r="BW55" i="27"/>
  <c r="BW43" i="27"/>
  <c r="BW31" i="27"/>
  <c r="BW19" i="27"/>
  <c r="BW54" i="27"/>
  <c r="BW42" i="27"/>
  <c r="BW30" i="27"/>
  <c r="BW18" i="27"/>
  <c r="BW53" i="27"/>
  <c r="BW41" i="27"/>
  <c r="BW29" i="27"/>
  <c r="BW17" i="27"/>
  <c r="BW52" i="27"/>
  <c r="BW40" i="27"/>
  <c r="BW28" i="27"/>
  <c r="BW16" i="27"/>
  <c r="BW51" i="27"/>
  <c r="BW39" i="27"/>
  <c r="BW27" i="27"/>
  <c r="BW15" i="27"/>
  <c r="AY51" i="27"/>
  <c r="AY39" i="27"/>
  <c r="AY27" i="27"/>
  <c r="AY15" i="27"/>
  <c r="AY54" i="27"/>
  <c r="AY50" i="27"/>
  <c r="AY38" i="27"/>
  <c r="AY26" i="27"/>
  <c r="AY14" i="27"/>
  <c r="AY23" i="27"/>
  <c r="AY10" i="27"/>
  <c r="AY45" i="27"/>
  <c r="AY55" i="27"/>
  <c r="AY30" i="27"/>
  <c r="AY49" i="27"/>
  <c r="AY37" i="27"/>
  <c r="AY25" i="27"/>
  <c r="AY13" i="27"/>
  <c r="AY35" i="27"/>
  <c r="AY57" i="27"/>
  <c r="AY32" i="27"/>
  <c r="AY19" i="27"/>
  <c r="AY48" i="27"/>
  <c r="AY36" i="27"/>
  <c r="AY24" i="27"/>
  <c r="AY12" i="27"/>
  <c r="AY47" i="27"/>
  <c r="AY11" i="27"/>
  <c r="AY46" i="27"/>
  <c r="AY34" i="27"/>
  <c r="AY22" i="27"/>
  <c r="AY21" i="27"/>
  <c r="AY9" i="27"/>
  <c r="AY20" i="27"/>
  <c r="AY43" i="27"/>
  <c r="AY42" i="27"/>
  <c r="AY33" i="27"/>
  <c r="AY44" i="27"/>
  <c r="AY8" i="27"/>
  <c r="AY31" i="27"/>
  <c r="AY18" i="27"/>
  <c r="AY53" i="27"/>
  <c r="AY41" i="27"/>
  <c r="AY29" i="27"/>
  <c r="AY17" i="27"/>
  <c r="AY52" i="27"/>
  <c r="AY40" i="27"/>
  <c r="AY28" i="27"/>
  <c r="AY16" i="27"/>
  <c r="AY56" i="27"/>
  <c r="BO57" i="27"/>
  <c r="BO45" i="27"/>
  <c r="BO33" i="27"/>
  <c r="BO21" i="27"/>
  <c r="BO9" i="27"/>
  <c r="BO50" i="27"/>
  <c r="BO14" i="27"/>
  <c r="BO25" i="27"/>
  <c r="BO24" i="27"/>
  <c r="BO56" i="27"/>
  <c r="BO44" i="27"/>
  <c r="BO32" i="27"/>
  <c r="BO20" i="27"/>
  <c r="BO8" i="27"/>
  <c r="BO52" i="27"/>
  <c r="BO28" i="27"/>
  <c r="BO15" i="27"/>
  <c r="BO55" i="27"/>
  <c r="BO43" i="27"/>
  <c r="BO31" i="27"/>
  <c r="BO19" i="27"/>
  <c r="BO40" i="27"/>
  <c r="BO16" i="27"/>
  <c r="BO39" i="27"/>
  <c r="BO49" i="27"/>
  <c r="BO36" i="27"/>
  <c r="BO54" i="27"/>
  <c r="BO42" i="27"/>
  <c r="BO30" i="27"/>
  <c r="BO18" i="27"/>
  <c r="BO51" i="27"/>
  <c r="BO26" i="27"/>
  <c r="BO37" i="27"/>
  <c r="BO13" i="27"/>
  <c r="BO12" i="27"/>
  <c r="BO53" i="27"/>
  <c r="BO41" i="27"/>
  <c r="BO29" i="27"/>
  <c r="BO17" i="27"/>
  <c r="BO27" i="27"/>
  <c r="BO47" i="27"/>
  <c r="BO35" i="27"/>
  <c r="BO23" i="27"/>
  <c r="BO11" i="27"/>
  <c r="BO46" i="27"/>
  <c r="BO34" i="27"/>
  <c r="BO22" i="27"/>
  <c r="BO10" i="27"/>
  <c r="BO38" i="27"/>
  <c r="BO48" i="27"/>
  <c r="BV7" i="27"/>
  <c r="BF7" i="27"/>
  <c r="AX7" i="27"/>
  <c r="BN7" i="27"/>
  <c r="CD13" i="27"/>
  <c r="CD7" i="27"/>
  <c r="CD40" i="27"/>
  <c r="BK2" i="27" a="1"/>
  <c r="BK2" i="27" s="1"/>
  <c r="BS2" i="27" a="1"/>
  <c r="BS2" i="27" s="1"/>
  <c r="CA2" i="27" a="1"/>
  <c r="CA2" i="27" s="1"/>
  <c r="BC2" i="27" a="1"/>
  <c r="BC2" i="27" s="1"/>
  <c r="CI2" i="27" a="1"/>
  <c r="CI2" i="27" s="1"/>
  <c r="E23" i="16"/>
  <c r="E22" i="16"/>
  <c r="E21" i="16"/>
  <c r="E20" i="16"/>
  <c r="E19" i="16"/>
  <c r="E18" i="16"/>
  <c r="E17" i="16"/>
  <c r="E16" i="16"/>
  <c r="E15" i="16"/>
  <c r="E14" i="16"/>
  <c r="E13" i="16"/>
  <c r="E12" i="16"/>
  <c r="E11" i="16"/>
  <c r="E10" i="16"/>
  <c r="E9" i="16"/>
  <c r="E8" i="16"/>
  <c r="BF59" i="27" l="1"/>
  <c r="AX74" i="27"/>
  <c r="BN87" i="27"/>
  <c r="BN65" i="27"/>
  <c r="BF75" i="27"/>
  <c r="BN66" i="27"/>
  <c r="BN85" i="27"/>
  <c r="BF82" i="27"/>
  <c r="BV65" i="27"/>
  <c r="BF76" i="27"/>
  <c r="BF40" i="27"/>
  <c r="BN64" i="27"/>
  <c r="BN68" i="27"/>
  <c r="BF81" i="27"/>
  <c r="BV58" i="27"/>
  <c r="AX86" i="27"/>
  <c r="BN71" i="27"/>
  <c r="BN83" i="27"/>
  <c r="BF65" i="27"/>
  <c r="BF85" i="27"/>
  <c r="BF60" i="27"/>
  <c r="BF84" i="27"/>
  <c r="BV71" i="27"/>
  <c r="BF69" i="27"/>
  <c r="BF17" i="27"/>
  <c r="AX63" i="27"/>
  <c r="AX64" i="27"/>
  <c r="BN63" i="27"/>
  <c r="BN74" i="27"/>
  <c r="BV75" i="27"/>
  <c r="BF71" i="27"/>
  <c r="BF67" i="27"/>
  <c r="AX71" i="27"/>
  <c r="BN73" i="27"/>
  <c r="AX65" i="27"/>
  <c r="BN78" i="27"/>
  <c r="BN58" i="27"/>
  <c r="BN62" i="27"/>
  <c r="BF73" i="27"/>
  <c r="BV64" i="27"/>
  <c r="BV61" i="27"/>
  <c r="BN15" i="27"/>
  <c r="BN9" i="27"/>
  <c r="BF21" i="27"/>
  <c r="BN42" i="27"/>
  <c r="BN21" i="27"/>
  <c r="BN54" i="27"/>
  <c r="BF45" i="27"/>
  <c r="BN29" i="27"/>
  <c r="BV17" i="27"/>
  <c r="BN38" i="27"/>
  <c r="BN20" i="27"/>
  <c r="BV14" i="27"/>
  <c r="BF41" i="27"/>
  <c r="BF16" i="27"/>
  <c r="BN22" i="27"/>
  <c r="BN12" i="27"/>
  <c r="BN16" i="27"/>
  <c r="BN44" i="27"/>
  <c r="BV44" i="27"/>
  <c r="BF48" i="27"/>
  <c r="AX62" i="27"/>
  <c r="BN30" i="27"/>
  <c r="BN28" i="27"/>
  <c r="BV40" i="27"/>
  <c r="BV13" i="27"/>
  <c r="BF26" i="27"/>
  <c r="BN52" i="27"/>
  <c r="BN48" i="27"/>
  <c r="BN36" i="27"/>
  <c r="BN45" i="27"/>
  <c r="BV34" i="27"/>
  <c r="BF44" i="27"/>
  <c r="BN49" i="27"/>
  <c r="BF51" i="27"/>
  <c r="AX69" i="27"/>
  <c r="BN39" i="27"/>
  <c r="BN34" i="27"/>
  <c r="BN13" i="27"/>
  <c r="BN40" i="27"/>
  <c r="BN56" i="27"/>
  <c r="BV56" i="27"/>
  <c r="BV35" i="27"/>
  <c r="BV38" i="27"/>
  <c r="BF31" i="27"/>
  <c r="BF25" i="27"/>
  <c r="BF10" i="27"/>
  <c r="BN47" i="27"/>
  <c r="BN17" i="27"/>
  <c r="BN8" i="27"/>
  <c r="AX76" i="27"/>
  <c r="BF56" i="27"/>
  <c r="BN10" i="27"/>
  <c r="BN37" i="27"/>
  <c r="BV30" i="27"/>
  <c r="BV9" i="27"/>
  <c r="BV50" i="27"/>
  <c r="BF15" i="27"/>
  <c r="BF22" i="27"/>
  <c r="BN27" i="27"/>
  <c r="BF27" i="27"/>
  <c r="BN41" i="27"/>
  <c r="AX70" i="27"/>
  <c r="BV11" i="27"/>
  <c r="BN46" i="27"/>
  <c r="BN11" i="27"/>
  <c r="BN26" i="27"/>
  <c r="BN31" i="27"/>
  <c r="BN25" i="27"/>
  <c r="BV42" i="27"/>
  <c r="BV12" i="27"/>
  <c r="BF23" i="27"/>
  <c r="BF42" i="27"/>
  <c r="BF55" i="27"/>
  <c r="BF28" i="27"/>
  <c r="BF34" i="27"/>
  <c r="BN33" i="27"/>
  <c r="BV22" i="27"/>
  <c r="BN57" i="27"/>
  <c r="AX82" i="27"/>
  <c r="BN32" i="27"/>
  <c r="BN19" i="27"/>
  <c r="BF14" i="27"/>
  <c r="BN23" i="27"/>
  <c r="BN51" i="27"/>
  <c r="BN43" i="27"/>
  <c r="BN14" i="27"/>
  <c r="BV51" i="27"/>
  <c r="BV24" i="27"/>
  <c r="BF47" i="27"/>
  <c r="BF54" i="27"/>
  <c r="BF35" i="27"/>
  <c r="BF46" i="27"/>
  <c r="BN53" i="27"/>
  <c r="BF33" i="27"/>
  <c r="BN24" i="27"/>
  <c r="BN35" i="27"/>
  <c r="BN18" i="27"/>
  <c r="BN55" i="27"/>
  <c r="BN50" i="27"/>
  <c r="BV19" i="27"/>
  <c r="BV36" i="27"/>
  <c r="BF12" i="27"/>
  <c r="BF38" i="27"/>
  <c r="AX77" i="27"/>
  <c r="AX75" i="27"/>
  <c r="AX28" i="27"/>
  <c r="AX59" i="27"/>
  <c r="AX85" i="27"/>
  <c r="AX21" i="27"/>
  <c r="AX81" i="27"/>
  <c r="AX35" i="27"/>
  <c r="AX38" i="27"/>
  <c r="AX51" i="27"/>
  <c r="AX43" i="27"/>
  <c r="AX23" i="27"/>
  <c r="AX53" i="27"/>
  <c r="AX50" i="27"/>
  <c r="AX67" i="27"/>
  <c r="AX36" i="27"/>
  <c r="AX80" i="27"/>
  <c r="AX48" i="27"/>
  <c r="AX61" i="27"/>
  <c r="AX19" i="27"/>
  <c r="AX73" i="27"/>
  <c r="AX79" i="27"/>
  <c r="AX11" i="27"/>
  <c r="AX72" i="27"/>
  <c r="AX10" i="27"/>
  <c r="AX66" i="27"/>
  <c r="AX87" i="27"/>
  <c r="AX9" i="27"/>
  <c r="AX18" i="27"/>
  <c r="AX68" i="27"/>
  <c r="AX37" i="27"/>
  <c r="AX15" i="27"/>
  <c r="AX8" i="27"/>
  <c r="AX27" i="27"/>
  <c r="AX30" i="27"/>
  <c r="AX83" i="27"/>
  <c r="AX78" i="27"/>
  <c r="BV53" i="27"/>
  <c r="BF11" i="27"/>
  <c r="BF18" i="27"/>
  <c r="BF53" i="27"/>
  <c r="BF24" i="27"/>
  <c r="BF20" i="27"/>
  <c r="BF49" i="27"/>
  <c r="BF36" i="27"/>
  <c r="BF32" i="27"/>
  <c r="BF39" i="27"/>
  <c r="AX57" i="27"/>
  <c r="BV48" i="27"/>
  <c r="BV57" i="27"/>
  <c r="AX41" i="27"/>
  <c r="AX14" i="27"/>
  <c r="BV23" i="27"/>
  <c r="BV10" i="27"/>
  <c r="BV39" i="27"/>
  <c r="BV29" i="27"/>
  <c r="BV20" i="27"/>
  <c r="BV25" i="27"/>
  <c r="BV15" i="27"/>
  <c r="BV32" i="27"/>
  <c r="BV41" i="27"/>
  <c r="BV33" i="27"/>
  <c r="BV54" i="27"/>
  <c r="BV21" i="27"/>
  <c r="BV16" i="27"/>
  <c r="BV27" i="27"/>
  <c r="BV55" i="27"/>
  <c r="BV31" i="27"/>
  <c r="BV26" i="27"/>
  <c r="BV18" i="27"/>
  <c r="BV46" i="27"/>
  <c r="BV49" i="27"/>
  <c r="BV8" i="27"/>
  <c r="BV37" i="27"/>
  <c r="BV28" i="27"/>
  <c r="BV52" i="27"/>
  <c r="BV43" i="27"/>
  <c r="BV47" i="27"/>
  <c r="BV45" i="27"/>
  <c r="BF37" i="27"/>
  <c r="BF50" i="27"/>
  <c r="BF13" i="27"/>
  <c r="BF30" i="27"/>
  <c r="BF43" i="27"/>
  <c r="BF52" i="27"/>
  <c r="BF29" i="27"/>
  <c r="BF8" i="27"/>
  <c r="BF19" i="27"/>
  <c r="BF9" i="27"/>
  <c r="AX54" i="27"/>
  <c r="AX52" i="27"/>
  <c r="AX26" i="27"/>
  <c r="AX24" i="27"/>
  <c r="AX13" i="27"/>
  <c r="AX31" i="27"/>
  <c r="AX45" i="27"/>
  <c r="AX34" i="27"/>
  <c r="AX22" i="27"/>
  <c r="AX42" i="27"/>
  <c r="AX46" i="27"/>
  <c r="AX47" i="27"/>
  <c r="AX17" i="27"/>
  <c r="AX20" i="27"/>
  <c r="AX32" i="27"/>
  <c r="AX55" i="27"/>
  <c r="AX49" i="27"/>
  <c r="AX25" i="27"/>
  <c r="AX33" i="27"/>
  <c r="AX44" i="27"/>
  <c r="AX56" i="27"/>
  <c r="AX40" i="27"/>
  <c r="AX12" i="27"/>
  <c r="AX39" i="27"/>
  <c r="AX16" i="27"/>
  <c r="AX29" i="27"/>
  <c r="H14" i="31"/>
  <c r="H15" i="31" a="1"/>
  <c r="H15" i="31" s="1"/>
  <c r="D6" i="31"/>
  <c r="D5" i="31"/>
  <c r="D4" i="31"/>
  <c r="D3" i="31"/>
  <c r="C7" i="27" l="1" a="1"/>
  <c r="C7" i="27" s="1"/>
  <c r="C77" i="27" a="1"/>
  <c r="C77" i="27" s="1"/>
  <c r="C65" i="27" a="1"/>
  <c r="C65" i="27" s="1"/>
  <c r="C53" i="27" a="1"/>
  <c r="C53" i="27" s="1"/>
  <c r="C41" i="27" a="1"/>
  <c r="C41" i="27" s="1"/>
  <c r="C29" i="27" a="1"/>
  <c r="C29" i="27" s="1"/>
  <c r="C17" i="27" a="1"/>
  <c r="C17" i="27" s="1"/>
  <c r="C37" i="27" a="1"/>
  <c r="C37" i="27" s="1"/>
  <c r="C72" i="27" a="1"/>
  <c r="C72" i="27" s="1"/>
  <c r="AT72" i="27" s="1"/>
  <c r="C24" i="27" a="1"/>
  <c r="C24" i="27" s="1"/>
  <c r="C71" i="27" a="1"/>
  <c r="C71" i="27" s="1"/>
  <c r="AT71" i="27" s="1"/>
  <c r="C47" i="27" a="1"/>
  <c r="C47" i="27" s="1"/>
  <c r="C81" i="27" a="1"/>
  <c r="C81" i="27" s="1"/>
  <c r="AT81" i="27" s="1"/>
  <c r="C33" i="27" a="1"/>
  <c r="C33" i="27" s="1"/>
  <c r="C80" i="27" a="1"/>
  <c r="C80" i="27" s="1"/>
  <c r="AT80" i="27" s="1"/>
  <c r="C32" i="27" a="1"/>
  <c r="C32" i="27" s="1"/>
  <c r="C76" i="27" a="1"/>
  <c r="C76" i="27" s="1"/>
  <c r="AT76" i="27" s="1"/>
  <c r="C64" i="27" a="1"/>
  <c r="C64" i="27" s="1"/>
  <c r="AT64" i="27" s="1"/>
  <c r="C52" i="27" a="1"/>
  <c r="C52" i="27" s="1"/>
  <c r="C40" i="27" a="1"/>
  <c r="C40" i="27" s="1"/>
  <c r="C28" i="27" a="1"/>
  <c r="C28" i="27" s="1"/>
  <c r="C16" i="27" a="1"/>
  <c r="C16" i="27" s="1"/>
  <c r="C49" i="27" a="1"/>
  <c r="C49" i="27" s="1"/>
  <c r="C83" i="27" a="1"/>
  <c r="C83" i="27" s="1"/>
  <c r="AT83" i="27" s="1"/>
  <c r="C23" i="27" a="1"/>
  <c r="C23" i="27" s="1"/>
  <c r="C82" i="27" a="1"/>
  <c r="C82" i="27" s="1"/>
  <c r="AT82" i="27" s="1"/>
  <c r="C34" i="27" a="1"/>
  <c r="C34" i="27" s="1"/>
  <c r="C57" i="27" a="1"/>
  <c r="C57" i="27" s="1"/>
  <c r="C68" i="27" a="1"/>
  <c r="C68" i="27" s="1"/>
  <c r="AT68" i="27" s="1"/>
  <c r="C79" i="27" a="1"/>
  <c r="C79" i="27" s="1"/>
  <c r="C43" i="27" a="1"/>
  <c r="C43" i="27" s="1"/>
  <c r="C78" i="27" a="1"/>
  <c r="C78" i="27" s="1"/>
  <c r="AT78" i="27" s="1"/>
  <c r="C54" i="27" a="1"/>
  <c r="C54" i="27" s="1"/>
  <c r="C30" i="27" a="1"/>
  <c r="C30" i="27" s="1"/>
  <c r="C87" i="27" a="1"/>
  <c r="C87" i="27" s="1"/>
  <c r="AT87" i="27" s="1"/>
  <c r="C75" i="27" a="1"/>
  <c r="C75" i="27" s="1"/>
  <c r="AT75" i="27" s="1"/>
  <c r="C63" i="27" a="1"/>
  <c r="C63" i="27" s="1"/>
  <c r="AT63" i="27" s="1"/>
  <c r="C51" i="27" a="1"/>
  <c r="C51" i="27" s="1"/>
  <c r="C39" i="27" a="1"/>
  <c r="C39" i="27" s="1"/>
  <c r="C27" i="27" a="1"/>
  <c r="C27" i="27" s="1"/>
  <c r="C15" i="27" a="1"/>
  <c r="C15" i="27" s="1"/>
  <c r="C85" i="27" a="1"/>
  <c r="C85" i="27" s="1"/>
  <c r="AT85" i="27" s="1"/>
  <c r="C61" i="27" a="1"/>
  <c r="C61" i="27" s="1"/>
  <c r="AT61" i="27" s="1"/>
  <c r="C25" i="27" a="1"/>
  <c r="C25" i="27" s="1"/>
  <c r="C84" i="27" a="1"/>
  <c r="C84" i="27" s="1"/>
  <c r="AT84" i="27" s="1"/>
  <c r="C48" i="27" a="1"/>
  <c r="C48" i="27" s="1"/>
  <c r="C36" i="27" a="1"/>
  <c r="C36" i="27" s="1"/>
  <c r="C70" i="27" a="1"/>
  <c r="C70" i="27" s="1"/>
  <c r="AT70" i="27" s="1"/>
  <c r="C22" i="27" a="1"/>
  <c r="C22" i="27" s="1"/>
  <c r="C45" i="27" a="1"/>
  <c r="C45" i="27" s="1"/>
  <c r="C56" i="27" a="1"/>
  <c r="C56" i="27" s="1"/>
  <c r="C20" i="27" a="1"/>
  <c r="C20" i="27" s="1"/>
  <c r="C67" i="27" a="1"/>
  <c r="C67" i="27" s="1"/>
  <c r="AT67" i="27" s="1"/>
  <c r="C31" i="27" a="1"/>
  <c r="C31" i="27" s="1"/>
  <c r="C19" i="27" a="1"/>
  <c r="C19" i="27" s="1"/>
  <c r="C66" i="27" a="1"/>
  <c r="C66" i="27" s="1"/>
  <c r="AT66" i="27" s="1"/>
  <c r="C42" i="27" a="1"/>
  <c r="C42" i="27" s="1"/>
  <c r="C18" i="27" a="1"/>
  <c r="C18" i="27" s="1"/>
  <c r="C86" i="27" a="1"/>
  <c r="C86" i="27" s="1"/>
  <c r="AT86" i="27" s="1"/>
  <c r="C74" i="27" a="1"/>
  <c r="C74" i="27" s="1"/>
  <c r="AT74" i="27" s="1"/>
  <c r="C62" i="27" a="1"/>
  <c r="C62" i="27" s="1"/>
  <c r="AT62" i="27" s="1"/>
  <c r="C50" i="27" a="1"/>
  <c r="C50" i="27" s="1"/>
  <c r="C38" i="27" a="1"/>
  <c r="C38" i="27" s="1"/>
  <c r="C26" i="27" a="1"/>
  <c r="C26" i="27" s="1"/>
  <c r="C14" i="27" a="1"/>
  <c r="C14" i="27" s="1"/>
  <c r="C73" i="27" a="1"/>
  <c r="C73" i="27" s="1"/>
  <c r="C13" i="27" a="1"/>
  <c r="C13" i="27" s="1"/>
  <c r="C60" i="27" a="1"/>
  <c r="C60" i="27" s="1"/>
  <c r="AT60" i="27" s="1"/>
  <c r="C12" i="27" a="1"/>
  <c r="C12" i="27" s="1"/>
  <c r="C59" i="27" a="1"/>
  <c r="C59" i="27" s="1"/>
  <c r="AT59" i="27" s="1"/>
  <c r="C35" i="27" a="1"/>
  <c r="C35" i="27" s="1"/>
  <c r="C11" i="27" a="1"/>
  <c r="C11" i="27" s="1"/>
  <c r="C58" i="27" a="1"/>
  <c r="C58" i="27" s="1"/>
  <c r="AT58" i="27" s="1"/>
  <c r="C46" i="27" a="1"/>
  <c r="C46" i="27" s="1"/>
  <c r="C10" i="27" a="1"/>
  <c r="C10" i="27" s="1"/>
  <c r="C69" i="27" a="1"/>
  <c r="C69" i="27" s="1"/>
  <c r="AT69" i="27" s="1"/>
  <c r="C21" i="27" a="1"/>
  <c r="C21" i="27" s="1"/>
  <c r="C9" i="27" a="1"/>
  <c r="C9" i="27" s="1"/>
  <c r="C44" i="27" a="1"/>
  <c r="C44" i="27" s="1"/>
  <c r="C8" i="27" a="1"/>
  <c r="C8" i="27" s="1"/>
  <c r="C55" i="27" a="1"/>
  <c r="C55" i="27" s="1"/>
  <c r="AT79" i="27"/>
  <c r="AT73" i="27"/>
  <c r="AT65" i="27"/>
  <c r="AT77" i="27"/>
  <c r="B8" i="30" l="1"/>
  <c r="C8" i="30"/>
  <c r="B7" i="30"/>
  <c r="C7" i="30"/>
  <c r="B6" i="30"/>
  <c r="B5" i="30"/>
  <c r="C5" i="30"/>
  <c r="B4" i="30"/>
  <c r="C4" i="30"/>
  <c r="B3" i="30"/>
  <c r="B2" i="30"/>
  <c r="C3" i="30"/>
  <c r="C2" i="30"/>
  <c r="I5" i="11"/>
  <c r="S5" i="11" s="1"/>
  <c r="B4" i="29" s="1"/>
  <c r="T49" i="11"/>
  <c r="D5" i="29" s="1"/>
  <c r="T48" i="11"/>
  <c r="C5" i="29" s="1"/>
  <c r="S49" i="11"/>
  <c r="D4" i="29" s="1"/>
  <c r="S48" i="11"/>
  <c r="C4" i="29" s="1"/>
  <c r="Q49" i="11"/>
  <c r="D3" i="29" s="1"/>
  <c r="Q48" i="11"/>
  <c r="C3" i="29" s="1"/>
  <c r="K2" i="27"/>
  <c r="B8" i="16"/>
  <c r="B23" i="16"/>
  <c r="B22" i="16"/>
  <c r="B21" i="16"/>
  <c r="B20" i="16"/>
  <c r="B19" i="16"/>
  <c r="B18" i="16"/>
  <c r="B17" i="16"/>
  <c r="B16" i="16"/>
  <c r="B15" i="16"/>
  <c r="B14" i="16"/>
  <c r="B13" i="16"/>
  <c r="B12" i="16"/>
  <c r="B11" i="16"/>
  <c r="B10" i="16"/>
  <c r="B9" i="16"/>
  <c r="L2" i="27"/>
  <c r="T5" i="11" l="1"/>
  <c r="B5" i="29" s="1"/>
  <c r="Q5" i="11"/>
  <c r="B3" i="29" s="1"/>
  <c r="C10" i="30"/>
  <c r="C11" i="30" a="1"/>
  <c r="C11" i="30" s="1"/>
  <c r="L12" i="27" l="1"/>
  <c r="L37" i="27"/>
  <c r="L76" i="27"/>
  <c r="L45" i="27"/>
  <c r="L20" i="27"/>
  <c r="L27" i="27"/>
  <c r="L11" i="27"/>
  <c r="L71" i="27"/>
  <c r="L72" i="27"/>
  <c r="L54" i="27"/>
  <c r="L55" i="27"/>
  <c r="L43" i="27"/>
  <c r="L82" i="27"/>
  <c r="L59" i="27"/>
  <c r="L19" i="27"/>
  <c r="L42" i="27"/>
  <c r="L26" i="27"/>
  <c r="L53" i="27"/>
  <c r="L81" i="27"/>
  <c r="L80" i="27"/>
  <c r="L50" i="27"/>
  <c r="L30" i="27"/>
  <c r="L49" i="27"/>
  <c r="L46" i="27"/>
  <c r="L69" i="27"/>
  <c r="L79" i="27"/>
  <c r="L31" i="27"/>
  <c r="L67" i="27"/>
  <c r="L17" i="27"/>
  <c r="L25" i="27"/>
  <c r="L62" i="27"/>
  <c r="L21" i="27"/>
  <c r="L13" i="27"/>
  <c r="L73" i="27"/>
  <c r="L61" i="27"/>
  <c r="L29" i="27"/>
  <c r="L64" i="27"/>
  <c r="L60" i="27"/>
  <c r="L38" i="27"/>
  <c r="L52" i="27"/>
  <c r="L24" i="27"/>
  <c r="L87" i="27"/>
  <c r="L68" i="27"/>
  <c r="L83" i="27"/>
  <c r="L56" i="27"/>
  <c r="L40" i="27"/>
  <c r="L47" i="27"/>
  <c r="L74" i="27"/>
  <c r="L77" i="27"/>
  <c r="L58" i="27"/>
  <c r="L44" i="27"/>
  <c r="L28" i="27"/>
  <c r="L35" i="27"/>
  <c r="L85" i="27"/>
  <c r="L63" i="27"/>
  <c r="L78" i="27"/>
  <c r="L57" i="27"/>
  <c r="L75" i="27"/>
  <c r="L7" i="27"/>
  <c r="L65" i="27"/>
  <c r="L9" i="27"/>
  <c r="L41" i="27"/>
  <c r="L70" i="27"/>
  <c r="L32" i="27"/>
  <c r="L51" i="27"/>
  <c r="L23" i="27"/>
  <c r="L84" i="27"/>
  <c r="L86" i="27"/>
  <c r="L66" i="27"/>
  <c r="L8" i="27"/>
  <c r="L16" i="27"/>
  <c r="L14" i="27"/>
  <c r="L34" i="27"/>
  <c r="L48" i="27"/>
  <c r="L22" i="27"/>
  <c r="L39" i="27"/>
  <c r="L36" i="27"/>
  <c r="L10" i="27"/>
  <c r="L33" i="27"/>
  <c r="L18" i="27"/>
  <c r="L15" i="27"/>
  <c r="C12" i="30"/>
  <c r="S30" i="8"/>
  <c r="S4" i="8"/>
  <c r="AG11" i="8" l="1"/>
  <c r="AG10" i="8"/>
  <c r="C4" i="28" a="1"/>
  <c r="C4" i="28" s="1"/>
  <c r="T30" i="8"/>
  <c r="T4" i="8"/>
  <c r="K7" i="16" l="1"/>
  <c r="CL7" i="16"/>
  <c r="CK7" i="16"/>
  <c r="CJ7" i="16"/>
  <c r="CI7" i="16"/>
  <c r="CH7" i="16"/>
  <c r="CG7" i="16"/>
  <c r="CF7" i="16"/>
  <c r="CE7" i="16"/>
  <c r="CD7" i="16"/>
  <c r="CC7" i="16"/>
  <c r="CB7" i="16"/>
  <c r="CA7" i="16"/>
  <c r="BZ7" i="16"/>
  <c r="BY7" i="16"/>
  <c r="BX7" i="16"/>
  <c r="BW7" i="16"/>
  <c r="BV7" i="16"/>
  <c r="BU7" i="16"/>
  <c r="BT7" i="16"/>
  <c r="BS7" i="16"/>
  <c r="BR7" i="16"/>
  <c r="BQ7" i="16"/>
  <c r="BP7" i="16"/>
  <c r="BO7" i="16"/>
  <c r="BN7" i="16"/>
  <c r="BM7" i="16"/>
  <c r="BL7" i="16"/>
  <c r="BK7" i="16"/>
  <c r="BJ7" i="16"/>
  <c r="BI7" i="16"/>
  <c r="BH7" i="16"/>
  <c r="BG7" i="16"/>
  <c r="BF7" i="16"/>
  <c r="BE7" i="16"/>
  <c r="BD7" i="16"/>
  <c r="BC7" i="16"/>
  <c r="BB7" i="16"/>
  <c r="BA7" i="16"/>
  <c r="AZ7" i="16"/>
  <c r="AY7" i="16"/>
  <c r="AX7" i="16"/>
  <c r="AW7" i="16"/>
  <c r="AV7" i="16"/>
  <c r="AU7" i="16"/>
  <c r="AT7" i="16"/>
  <c r="AS7" i="16"/>
  <c r="AR7" i="16"/>
  <c r="AQ7" i="16"/>
  <c r="AP7" i="16"/>
  <c r="AO7" i="16"/>
  <c r="AN7" i="16"/>
  <c r="AM7" i="16"/>
  <c r="AL7" i="16"/>
  <c r="AK7" i="16"/>
  <c r="AJ7" i="16"/>
  <c r="AI7" i="16"/>
  <c r="AH7" i="16"/>
  <c r="AG7" i="16"/>
  <c r="AF7" i="16"/>
  <c r="AE7" i="16"/>
  <c r="AD7" i="16"/>
  <c r="AC7" i="16"/>
  <c r="AB7" i="16"/>
  <c r="AA7" i="16"/>
  <c r="Z7" i="16"/>
  <c r="Y7" i="16"/>
  <c r="X7" i="16"/>
  <c r="W7" i="16"/>
  <c r="V7" i="16"/>
  <c r="U7" i="16"/>
  <c r="T7" i="16"/>
  <c r="S7" i="16"/>
  <c r="R7" i="16"/>
  <c r="Q7" i="16"/>
  <c r="P7" i="16"/>
  <c r="O7" i="16"/>
  <c r="N7" i="16"/>
  <c r="M7" i="16"/>
  <c r="L7" i="16"/>
  <c r="AF6" i="11"/>
  <c r="V4" i="11"/>
  <c r="W4" i="11" s="1"/>
  <c r="V5" i="11"/>
  <c r="W5" i="11" s="1"/>
  <c r="V6" i="11"/>
  <c r="W6" i="11" s="1"/>
  <c r="V7" i="11"/>
  <c r="W7" i="11" s="1"/>
  <c r="V8" i="11"/>
  <c r="W8" i="11" s="1"/>
  <c r="V9" i="11"/>
  <c r="W9" i="11" s="1"/>
  <c r="V10" i="11"/>
  <c r="W10" i="11" s="1"/>
  <c r="V11" i="11"/>
  <c r="W11" i="11" s="1"/>
  <c r="V12" i="11"/>
  <c r="W12" i="11" s="1"/>
  <c r="V13" i="11"/>
  <c r="W13" i="11" s="1"/>
  <c r="V14" i="11"/>
  <c r="W14" i="11" s="1"/>
  <c r="V15" i="11"/>
  <c r="W15" i="11" s="1"/>
  <c r="V16" i="11"/>
  <c r="W16" i="11" s="1"/>
  <c r="V17" i="11"/>
  <c r="W17" i="11" s="1"/>
  <c r="V18" i="11"/>
  <c r="W18" i="11" s="1"/>
  <c r="V19" i="11"/>
  <c r="W19" i="11" s="1"/>
  <c r="V20" i="11"/>
  <c r="W20" i="11" s="1"/>
  <c r="V21" i="11"/>
  <c r="W21" i="11" s="1"/>
  <c r="V22" i="11"/>
  <c r="W22" i="11" s="1"/>
  <c r="V23" i="11"/>
  <c r="W23" i="11" s="1"/>
  <c r="V24" i="11"/>
  <c r="W24" i="11" s="1"/>
  <c r="V25" i="11"/>
  <c r="W25" i="11" s="1"/>
  <c r="V26" i="11"/>
  <c r="W26" i="11" s="1"/>
  <c r="V27" i="11"/>
  <c r="W27" i="11" s="1"/>
  <c r="V28" i="11"/>
  <c r="W28" i="11" s="1"/>
  <c r="V29" i="11"/>
  <c r="W29" i="11" s="1"/>
  <c r="V30" i="11"/>
  <c r="W30" i="11" s="1"/>
  <c r="V31" i="11"/>
  <c r="W31" i="11" s="1"/>
  <c r="V32" i="11"/>
  <c r="W32" i="11" s="1"/>
  <c r="V33" i="11"/>
  <c r="W33" i="11" s="1"/>
  <c r="V34" i="11"/>
  <c r="W34" i="11" s="1"/>
  <c r="V35" i="11"/>
  <c r="W35" i="11" s="1"/>
  <c r="V36" i="11"/>
  <c r="W36" i="11" s="1"/>
  <c r="V37" i="11"/>
  <c r="W37" i="11" s="1"/>
  <c r="V38" i="11"/>
  <c r="W38" i="11" s="1"/>
  <c r="V39" i="11"/>
  <c r="W39" i="11" s="1"/>
  <c r="V40" i="11"/>
  <c r="W40" i="11" s="1"/>
  <c r="V41" i="11"/>
  <c r="W41" i="11" s="1"/>
  <c r="V42" i="11"/>
  <c r="W42" i="11" s="1"/>
  <c r="V43" i="11"/>
  <c r="W43" i="11" s="1"/>
  <c r="V44" i="11"/>
  <c r="W44" i="11" s="1"/>
  <c r="V45" i="11"/>
  <c r="W45" i="11" s="1"/>
  <c r="V46" i="11"/>
  <c r="W46" i="11" s="1"/>
  <c r="V47" i="11"/>
  <c r="W47" i="11" s="1"/>
  <c r="V48" i="11"/>
  <c r="W48" i="11" s="1"/>
  <c r="V49" i="11"/>
  <c r="W49" i="11" s="1"/>
  <c r="V3" i="11"/>
  <c r="W3" i="11" s="1"/>
  <c r="B2" i="27"/>
  <c r="B87" i="27"/>
  <c r="B86" i="27"/>
  <c r="B85" i="27"/>
  <c r="B84" i="27"/>
  <c r="B83" i="27"/>
  <c r="B82" i="27"/>
  <c r="B81" i="27"/>
  <c r="B80" i="27"/>
  <c r="B79" i="27"/>
  <c r="B78" i="27"/>
  <c r="B77" i="27"/>
  <c r="B76" i="27"/>
  <c r="B75" i="27"/>
  <c r="B74" i="27"/>
  <c r="B73" i="27"/>
  <c r="B72" i="27"/>
  <c r="B71" i="27"/>
  <c r="B70" i="27"/>
  <c r="B69" i="27"/>
  <c r="B68" i="27"/>
  <c r="B67" i="27"/>
  <c r="B66" i="27"/>
  <c r="B65" i="27"/>
  <c r="B64" i="27"/>
  <c r="B63" i="27"/>
  <c r="B62" i="27"/>
  <c r="B61" i="27"/>
  <c r="B60" i="27"/>
  <c r="B59" i="27"/>
  <c r="B58" i="27"/>
  <c r="B57" i="27"/>
  <c r="B56" i="27"/>
  <c r="B55" i="27"/>
  <c r="B54" i="27"/>
  <c r="B53" i="27"/>
  <c r="B52" i="27"/>
  <c r="B51" i="27"/>
  <c r="B50" i="27"/>
  <c r="B49" i="27"/>
  <c r="B48" i="27"/>
  <c r="B47" i="27"/>
  <c r="B46" i="27"/>
  <c r="B45" i="27"/>
  <c r="B44" i="27"/>
  <c r="B43" i="27"/>
  <c r="B42" i="27"/>
  <c r="B41" i="27"/>
  <c r="B40" i="27"/>
  <c r="B39" i="27"/>
  <c r="B38" i="27"/>
  <c r="B37" i="27"/>
  <c r="B36" i="27"/>
  <c r="B35" i="27"/>
  <c r="B34" i="27"/>
  <c r="B33" i="27"/>
  <c r="B32" i="27"/>
  <c r="B31" i="27"/>
  <c r="B30" i="27"/>
  <c r="B29" i="27"/>
  <c r="B28" i="27"/>
  <c r="B27" i="27"/>
  <c r="B26" i="27"/>
  <c r="B25" i="27"/>
  <c r="B24" i="27"/>
  <c r="B23" i="27"/>
  <c r="B22" i="27"/>
  <c r="B21" i="27"/>
  <c r="B20" i="27"/>
  <c r="B19" i="27"/>
  <c r="B18" i="27"/>
  <c r="B17" i="27"/>
  <c r="B16" i="27"/>
  <c r="B15" i="27"/>
  <c r="B14" i="27"/>
  <c r="B13" i="27"/>
  <c r="B12" i="27"/>
  <c r="B11" i="27"/>
  <c r="B10" i="27"/>
  <c r="B9" i="27"/>
  <c r="B8" i="27"/>
  <c r="B7" i="27"/>
  <c r="A2" i="27" a="1"/>
  <c r="A2" i="27" s="1"/>
  <c r="C25" i="20"/>
  <c r="C26" i="20" s="1"/>
  <c r="C27" i="20" s="1"/>
  <c r="C28" i="20" s="1"/>
  <c r="B25" i="20"/>
  <c r="B26" i="20" s="1"/>
  <c r="B27" i="20" s="1"/>
  <c r="B28" i="20" s="1"/>
  <c r="C20" i="20"/>
  <c r="C21" i="20" s="1"/>
  <c r="C22" i="20" s="1"/>
  <c r="C23" i="20" s="1"/>
  <c r="B20" i="20"/>
  <c r="B21" i="20" s="1"/>
  <c r="B22" i="20" s="1"/>
  <c r="B23" i="20" s="1"/>
  <c r="C15" i="20"/>
  <c r="C16" i="20" s="1"/>
  <c r="C17" i="20" s="1"/>
  <c r="C18" i="20" s="1"/>
  <c r="B15" i="20"/>
  <c r="B16" i="20" s="1"/>
  <c r="B17" i="20" s="1"/>
  <c r="B18" i="20" s="1"/>
  <c r="C10" i="20"/>
  <c r="C11" i="20" s="1"/>
  <c r="C12" i="20" s="1"/>
  <c r="C13" i="20" s="1"/>
  <c r="B10" i="20"/>
  <c r="B11" i="20" s="1"/>
  <c r="B12" i="20" s="1"/>
  <c r="B13" i="20" s="1"/>
  <c r="C5" i="20"/>
  <c r="C6" i="20" s="1"/>
  <c r="C7" i="20" s="1"/>
  <c r="C8" i="20" s="1"/>
  <c r="B5" i="20"/>
  <c r="B6" i="20" s="1"/>
  <c r="B7" i="20" s="1"/>
  <c r="B8" i="20" s="1"/>
  <c r="C3" i="20"/>
  <c r="B3" i="20"/>
  <c r="AS47" i="27" l="1"/>
  <c r="AT47" i="27" s="1"/>
  <c r="AS11" i="27"/>
  <c r="AT11" i="27" s="1"/>
  <c r="AS24" i="27"/>
  <c r="AT24" i="27" s="1"/>
  <c r="AS26" i="27"/>
  <c r="AT26" i="27" s="1"/>
  <c r="AS15" i="27"/>
  <c r="AT15" i="27" s="1"/>
  <c r="AS27" i="27"/>
  <c r="AT27" i="27" s="1"/>
  <c r="AS39" i="27"/>
  <c r="AT39" i="27" s="1"/>
  <c r="AS51" i="27"/>
  <c r="AT51" i="27" s="1"/>
  <c r="AS55" i="27"/>
  <c r="AT55" i="27" s="1"/>
  <c r="AS31" i="27"/>
  <c r="AT31" i="27" s="1"/>
  <c r="AS46" i="27"/>
  <c r="AT46" i="27" s="1"/>
  <c r="AS19" i="27"/>
  <c r="AT19" i="27" s="1"/>
  <c r="K20" i="16"/>
  <c r="K19" i="16"/>
  <c r="K18" i="16"/>
  <c r="K13" i="16"/>
  <c r="K23" i="16"/>
  <c r="K22" i="16"/>
  <c r="K10" i="16"/>
  <c r="K9" i="16"/>
  <c r="K11" i="16"/>
  <c r="K21" i="16"/>
  <c r="K8" i="16"/>
  <c r="K7" i="27" s="1"/>
  <c r="K12" i="16"/>
  <c r="K14" i="16"/>
  <c r="K15" i="16"/>
  <c r="K16" i="16"/>
  <c r="K17" i="16"/>
  <c r="AE13" i="11"/>
  <c r="AF13" i="11" s="1"/>
  <c r="AE12" i="11"/>
  <c r="AF12" i="11" s="1"/>
  <c r="AE11" i="11"/>
  <c r="AF11" i="11" s="1"/>
  <c r="AF49" i="11"/>
  <c r="AF48" i="11"/>
  <c r="AF47" i="11"/>
  <c r="AF46" i="11"/>
  <c r="AF45" i="11"/>
  <c r="AF44" i="11"/>
  <c r="AF43" i="11"/>
  <c r="AF42" i="11"/>
  <c r="AF41" i="11"/>
  <c r="AF38" i="11"/>
  <c r="AF34" i="11"/>
  <c r="AF33" i="11"/>
  <c r="AF32" i="11"/>
  <c r="AF31" i="11"/>
  <c r="AF30" i="11"/>
  <c r="AF29" i="11"/>
  <c r="AF28" i="11"/>
  <c r="AF27" i="11"/>
  <c r="AF26" i="11"/>
  <c r="AF22" i="11"/>
  <c r="AF21" i="11"/>
  <c r="AF20" i="11"/>
  <c r="AF9" i="11"/>
  <c r="AF8" i="11"/>
  <c r="AF7" i="11"/>
  <c r="AF5" i="11"/>
  <c r="AF4" i="11"/>
  <c r="AF3" i="11"/>
  <c r="L6" i="31" l="1" a="1"/>
  <c r="L6" i="31" s="1"/>
  <c r="AS57" i="27"/>
  <c r="AT57" i="27" s="1"/>
  <c r="AS10" i="27"/>
  <c r="AT10" i="27" s="1"/>
  <c r="AS14" i="27"/>
  <c r="AT14" i="27" s="1"/>
  <c r="AS32" i="27"/>
  <c r="AT32" i="27" s="1"/>
  <c r="AS35" i="27"/>
  <c r="AT35" i="27" s="1"/>
  <c r="AS42" i="27"/>
  <c r="AT42" i="27" s="1"/>
  <c r="AS18" i="27"/>
  <c r="AT18" i="27" s="1"/>
  <c r="AS13" i="27"/>
  <c r="AT13" i="27" s="1"/>
  <c r="L2" i="31"/>
  <c r="AI2" i="27" s="1"/>
  <c r="AS12" i="27"/>
  <c r="AT12" i="27" s="1"/>
  <c r="AS23" i="27"/>
  <c r="AT23" i="27" s="1"/>
  <c r="AS21" i="27"/>
  <c r="AT21" i="27" s="1"/>
  <c r="AS45" i="27"/>
  <c r="AT45" i="27" s="1"/>
  <c r="AS9" i="27"/>
  <c r="AT9" i="27" s="1"/>
  <c r="AS54" i="27"/>
  <c r="AT54" i="27" s="1"/>
  <c r="AS53" i="27"/>
  <c r="AT53" i="27" s="1"/>
  <c r="AS20" i="27"/>
  <c r="AT20" i="27" s="1"/>
  <c r="AS8" i="27"/>
  <c r="AT8" i="27" s="1"/>
  <c r="AS41" i="27"/>
  <c r="AT41" i="27" s="1"/>
  <c r="AS17" i="27"/>
  <c r="AT17" i="27" s="1"/>
  <c r="AS30" i="27"/>
  <c r="AT30" i="27" s="1"/>
  <c r="BD2" i="27" a="1"/>
  <c r="BD2" i="27" s="1"/>
  <c r="AS43" i="27"/>
  <c r="AT43" i="27" s="1"/>
  <c r="AS44" i="27"/>
  <c r="AT44" i="27" s="1"/>
  <c r="AS52" i="27"/>
  <c r="AT52" i="27" s="1"/>
  <c r="AS28" i="27"/>
  <c r="AT28" i="27" s="1"/>
  <c r="AS29" i="27"/>
  <c r="AT29" i="27" s="1"/>
  <c r="AS34" i="27"/>
  <c r="AT34" i="27" s="1"/>
  <c r="AS40" i="27"/>
  <c r="AT40" i="27" s="1"/>
  <c r="AS49" i="27"/>
  <c r="AT49" i="27" s="1"/>
  <c r="AS33" i="27"/>
  <c r="AT33" i="27" s="1"/>
  <c r="AS50" i="27"/>
  <c r="AT50" i="27" s="1"/>
  <c r="AS37" i="27"/>
  <c r="AT37" i="27" s="1"/>
  <c r="AS48" i="27"/>
  <c r="AT48" i="27" s="1"/>
  <c r="AS16" i="27"/>
  <c r="AT16" i="27" s="1"/>
  <c r="AS56" i="27"/>
  <c r="AT56" i="27" s="1"/>
  <c r="AS22" i="27"/>
  <c r="AT22" i="27" s="1"/>
  <c r="AS38" i="27"/>
  <c r="AT38" i="27" s="1"/>
  <c r="AS25" i="27"/>
  <c r="AT25" i="27" s="1"/>
  <c r="AS36" i="27"/>
  <c r="AT36" i="27" s="1"/>
  <c r="L17" i="16"/>
  <c r="L16" i="16"/>
  <c r="L14" i="16"/>
  <c r="L23" i="16"/>
  <c r="L22" i="16"/>
  <c r="L21" i="16"/>
  <c r="L10" i="16"/>
  <c r="L9" i="16"/>
  <c r="L19" i="16"/>
  <c r="L18" i="16"/>
  <c r="L8" i="16"/>
  <c r="L11" i="16"/>
  <c r="L20" i="16"/>
  <c r="L12" i="16"/>
  <c r="L15" i="16"/>
  <c r="L13" i="16"/>
  <c r="K8" i="27" l="1"/>
  <c r="AH7" i="27"/>
  <c r="AI7" i="27" s="1"/>
  <c r="AH65" i="27"/>
  <c r="AH81" i="27"/>
  <c r="AH85" i="27"/>
  <c r="AH78" i="27"/>
  <c r="AH74" i="27"/>
  <c r="AH87" i="27"/>
  <c r="AH71" i="27"/>
  <c r="AH60" i="27"/>
  <c r="AH73" i="27"/>
  <c r="AH67" i="27"/>
  <c r="AH68" i="27"/>
  <c r="AH86" i="27"/>
  <c r="AH61" i="27"/>
  <c r="AH69" i="27"/>
  <c r="AH79" i="27"/>
  <c r="AH83" i="27"/>
  <c r="AH64" i="27"/>
  <c r="AH82" i="27"/>
  <c r="AH84" i="27"/>
  <c r="AH58" i="27"/>
  <c r="AH72" i="27"/>
  <c r="AH70" i="27"/>
  <c r="AH66" i="27"/>
  <c r="AH75" i="27"/>
  <c r="AH62" i="27"/>
  <c r="AH76" i="27"/>
  <c r="AH77" i="27"/>
  <c r="AH80" i="27"/>
  <c r="AH59" i="27"/>
  <c r="AH63" i="27"/>
  <c r="BK67" i="27"/>
  <c r="BK53" i="27"/>
  <c r="BK32" i="27"/>
  <c r="BK10" i="27"/>
  <c r="BK43" i="27"/>
  <c r="BK28" i="27"/>
  <c r="BK60" i="27"/>
  <c r="BK24" i="27"/>
  <c r="BK52" i="27"/>
  <c r="BK11" i="27"/>
  <c r="BK12" i="27"/>
  <c r="BK20" i="27"/>
  <c r="BK18" i="27"/>
  <c r="BK74" i="27"/>
  <c r="BK19" i="27"/>
  <c r="BK68" i="27"/>
  <c r="BK31" i="27"/>
  <c r="BK72" i="27"/>
  <c r="BK26" i="27"/>
  <c r="BK42" i="27"/>
  <c r="BK39" i="27"/>
  <c r="BK76" i="27"/>
  <c r="BK15" i="27"/>
  <c r="BK63" i="27"/>
  <c r="BK34" i="27"/>
  <c r="BK27" i="27"/>
  <c r="BK46" i="27"/>
  <c r="BK81" i="27"/>
  <c r="BK54" i="27"/>
  <c r="BK38" i="27"/>
  <c r="BK75" i="27"/>
  <c r="BK30" i="27"/>
  <c r="BK86" i="27"/>
  <c r="BK85" i="27"/>
  <c r="BK8" i="27"/>
  <c r="BK56" i="27"/>
  <c r="BK40" i="27"/>
  <c r="BK22" i="27"/>
  <c r="BK84" i="27"/>
  <c r="BK33" i="27"/>
  <c r="BK47" i="27"/>
  <c r="BK9" i="27"/>
  <c r="BK59" i="27"/>
  <c r="BK49" i="27"/>
  <c r="BK66" i="27"/>
  <c r="BK35" i="27"/>
  <c r="BK62" i="27"/>
  <c r="BK71" i="27"/>
  <c r="BK29" i="27"/>
  <c r="BK69" i="27"/>
  <c r="BK64" i="27"/>
  <c r="BK48" i="27"/>
  <c r="BK45" i="27"/>
  <c r="BK61" i="27"/>
  <c r="BK80" i="27"/>
  <c r="BK77" i="27"/>
  <c r="BK44" i="27"/>
  <c r="BK70" i="27"/>
  <c r="BK16" i="27"/>
  <c r="BK25" i="27"/>
  <c r="BK21" i="27"/>
  <c r="BK51" i="27"/>
  <c r="BK87" i="27"/>
  <c r="BK17" i="27"/>
  <c r="BK78" i="27"/>
  <c r="BK41" i="27"/>
  <c r="BK37" i="27"/>
  <c r="BK57" i="27"/>
  <c r="BK13" i="27"/>
  <c r="BK14" i="27"/>
  <c r="BK65" i="27"/>
  <c r="BK50" i="27"/>
  <c r="BK82" i="27"/>
  <c r="BK23" i="27"/>
  <c r="BK79" i="27"/>
  <c r="BK36" i="27"/>
  <c r="BK83" i="27"/>
  <c r="BK73" i="27"/>
  <c r="BK55" i="27"/>
  <c r="BK58" i="27"/>
  <c r="BJ87" i="27"/>
  <c r="BH60" i="27"/>
  <c r="BH80" i="27"/>
  <c r="BJ84" i="27"/>
  <c r="BH81" i="27"/>
  <c r="BH66" i="27"/>
  <c r="BH65" i="27"/>
  <c r="BH77" i="27"/>
  <c r="BJ85" i="27"/>
  <c r="BJ69" i="27"/>
  <c r="BH71" i="27"/>
  <c r="BH82" i="27"/>
  <c r="BJ60" i="27"/>
  <c r="BJ80" i="27"/>
  <c r="BH79" i="27"/>
  <c r="BH61" i="27"/>
  <c r="BH70" i="27"/>
  <c r="BJ83" i="27"/>
  <c r="BH86" i="27"/>
  <c r="BH63" i="27"/>
  <c r="BH83" i="27"/>
  <c r="BH69" i="27"/>
  <c r="BJ64" i="27"/>
  <c r="BJ76" i="27"/>
  <c r="BH73" i="27"/>
  <c r="BH72" i="27"/>
  <c r="BJ65" i="27"/>
  <c r="BJ63" i="27"/>
  <c r="BJ71" i="27"/>
  <c r="BJ74" i="27"/>
  <c r="BJ72" i="27"/>
  <c r="BJ66" i="27"/>
  <c r="BH85" i="27"/>
  <c r="BH78" i="27"/>
  <c r="BJ67" i="27"/>
  <c r="BH59" i="27"/>
  <c r="BH84" i="27"/>
  <c r="BH67" i="27"/>
  <c r="BJ62" i="27"/>
  <c r="BH58" i="27"/>
  <c r="BJ81" i="27"/>
  <c r="BJ59" i="27"/>
  <c r="BH87" i="27"/>
  <c r="BJ68" i="27"/>
  <c r="BJ70" i="27"/>
  <c r="BJ75" i="27"/>
  <c r="BH76" i="27"/>
  <c r="BH68" i="27"/>
  <c r="BJ73" i="27"/>
  <c r="BH74" i="27"/>
  <c r="BJ61" i="27"/>
  <c r="BH62" i="27"/>
  <c r="BH64" i="27"/>
  <c r="BJ78" i="27"/>
  <c r="BJ86" i="27"/>
  <c r="BJ79" i="27"/>
  <c r="BJ58" i="27"/>
  <c r="BH75" i="27"/>
  <c r="BJ77" i="27"/>
  <c r="BJ82" i="27"/>
  <c r="AH32" i="27"/>
  <c r="AH15" i="27"/>
  <c r="AH19" i="27"/>
  <c r="AH50" i="27"/>
  <c r="AH23" i="27"/>
  <c r="AH47" i="27"/>
  <c r="AH34" i="27"/>
  <c r="AH43" i="27"/>
  <c r="AH20" i="27"/>
  <c r="AH11" i="27"/>
  <c r="AH9" i="27"/>
  <c r="AH30" i="27"/>
  <c r="AH42" i="27"/>
  <c r="AH46" i="27"/>
  <c r="AH56" i="27"/>
  <c r="AH27" i="27"/>
  <c r="AH35" i="27"/>
  <c r="AH39" i="27"/>
  <c r="AH37" i="27"/>
  <c r="AH53" i="27"/>
  <c r="AH51" i="27"/>
  <c r="AH31" i="27"/>
  <c r="AH12" i="27"/>
  <c r="AH25" i="27"/>
  <c r="AH40" i="27"/>
  <c r="AH41" i="27"/>
  <c r="AH49" i="27"/>
  <c r="AH24" i="27"/>
  <c r="AH45" i="27"/>
  <c r="AH8" i="27"/>
  <c r="AH54" i="27"/>
  <c r="AH16" i="27"/>
  <c r="AH10" i="27"/>
  <c r="AH48" i="27"/>
  <c r="AH44" i="27"/>
  <c r="AH17" i="27"/>
  <c r="AH57" i="27"/>
  <c r="AH55" i="27"/>
  <c r="AH22" i="27"/>
  <c r="AH14" i="27"/>
  <c r="AH33" i="27"/>
  <c r="AH13" i="27"/>
  <c r="AH36" i="27"/>
  <c r="AH26" i="27"/>
  <c r="AH18" i="27"/>
  <c r="AH21" i="27"/>
  <c r="AH29" i="27"/>
  <c r="AH38" i="27"/>
  <c r="AH28" i="27"/>
  <c r="AH52" i="27"/>
  <c r="BI7" i="27"/>
  <c r="BD7" i="27"/>
  <c r="BJ46" i="27"/>
  <c r="BJ44" i="27"/>
  <c r="BJ17" i="27"/>
  <c r="BJ22" i="27"/>
  <c r="BJ51" i="27"/>
  <c r="BJ50" i="27"/>
  <c r="BJ13" i="27"/>
  <c r="BE7" i="27"/>
  <c r="BJ56" i="27"/>
  <c r="BJ42" i="27"/>
  <c r="BJ47" i="27"/>
  <c r="BJ35" i="27"/>
  <c r="BJ28" i="27"/>
  <c r="BJ15" i="27"/>
  <c r="BJ31" i="27"/>
  <c r="BJ34" i="27"/>
  <c r="BJ14" i="27"/>
  <c r="BJ25" i="27"/>
  <c r="BJ55" i="27"/>
  <c r="BJ37" i="27"/>
  <c r="BJ43" i="27"/>
  <c r="BJ23" i="27"/>
  <c r="BJ40" i="27"/>
  <c r="BJ54" i="27"/>
  <c r="BJ30" i="27"/>
  <c r="BH41" i="27"/>
  <c r="BH42" i="27"/>
  <c r="BH47" i="27"/>
  <c r="BH27" i="27"/>
  <c r="BJ20" i="27"/>
  <c r="BH31" i="27"/>
  <c r="BH7" i="27"/>
  <c r="BJ36" i="27"/>
  <c r="BJ19" i="27"/>
  <c r="BJ29" i="27"/>
  <c r="BH54" i="27"/>
  <c r="BH44" i="27"/>
  <c r="BJ33" i="27"/>
  <c r="BH34" i="27"/>
  <c r="BJ16" i="27"/>
  <c r="BJ57" i="27"/>
  <c r="BH28" i="27"/>
  <c r="BH35" i="27"/>
  <c r="BJ26" i="27"/>
  <c r="BH38" i="27"/>
  <c r="BJ27" i="27"/>
  <c r="BJ48" i="27"/>
  <c r="BH23" i="27"/>
  <c r="BH57" i="27"/>
  <c r="BH48" i="27"/>
  <c r="BH55" i="27"/>
  <c r="BJ49" i="27"/>
  <c r="BH46" i="27"/>
  <c r="BH40" i="27"/>
  <c r="BH22" i="27"/>
  <c r="BH51" i="27"/>
  <c r="BJ24" i="27"/>
  <c r="BJ38" i="27"/>
  <c r="BH12" i="27"/>
  <c r="BH56" i="27"/>
  <c r="BJ41" i="27"/>
  <c r="BH15" i="27"/>
  <c r="BH17" i="27"/>
  <c r="BJ8" i="27"/>
  <c r="BJ45" i="27"/>
  <c r="BJ18" i="27"/>
  <c r="BH16" i="27"/>
  <c r="BJ11" i="27"/>
  <c r="BH21" i="27"/>
  <c r="BJ53" i="27"/>
  <c r="BJ32" i="27"/>
  <c r="BH25" i="27"/>
  <c r="BJ9" i="27"/>
  <c r="BH45" i="27"/>
  <c r="BJ21" i="27"/>
  <c r="BJ10" i="27"/>
  <c r="BJ52" i="27"/>
  <c r="BH10" i="27"/>
  <c r="BJ39" i="27"/>
  <c r="BH33" i="27"/>
  <c r="BH26" i="27"/>
  <c r="BJ12" i="27"/>
  <c r="BH14" i="27"/>
  <c r="BH52" i="27"/>
  <c r="BH8" i="27"/>
  <c r="BH9" i="27"/>
  <c r="BH19" i="27"/>
  <c r="BH11" i="27"/>
  <c r="BH20" i="27"/>
  <c r="BH36" i="27"/>
  <c r="BH43" i="27"/>
  <c r="BH30" i="27"/>
  <c r="BH50" i="27"/>
  <c r="BH29" i="27"/>
  <c r="BH24" i="27"/>
  <c r="BH37" i="27"/>
  <c r="BH53" i="27"/>
  <c r="BH49" i="27"/>
  <c r="BH18" i="27"/>
  <c r="BH13" i="27"/>
  <c r="BH39" i="27"/>
  <c r="BH32" i="27"/>
  <c r="M8" i="16"/>
  <c r="M17" i="16"/>
  <c r="N17" i="16" s="1"/>
  <c r="O17" i="16" s="1"/>
  <c r="P17" i="16" s="1"/>
  <c r="Q17" i="16" s="1"/>
  <c r="R17" i="16" s="1"/>
  <c r="S17" i="16" s="1"/>
  <c r="T17" i="16" s="1"/>
  <c r="U17" i="16" s="1"/>
  <c r="V17" i="16" s="1"/>
  <c r="W17" i="16" s="1"/>
  <c r="X17" i="16" s="1"/>
  <c r="Y17" i="16" s="1"/>
  <c r="Z17" i="16" s="1"/>
  <c r="AA17" i="16" s="1"/>
  <c r="AB17" i="16" s="1"/>
  <c r="AC17" i="16" s="1"/>
  <c r="AD17" i="16" s="1"/>
  <c r="AE17" i="16" s="1"/>
  <c r="AF17" i="16" s="1"/>
  <c r="AG17" i="16" s="1"/>
  <c r="AH17" i="16" s="1"/>
  <c r="AI17" i="16" s="1"/>
  <c r="AJ17" i="16" s="1"/>
  <c r="AK17" i="16" s="1"/>
  <c r="AL17" i="16" s="1"/>
  <c r="AM17" i="16" s="1"/>
  <c r="AN17" i="16" s="1"/>
  <c r="AO17" i="16" s="1"/>
  <c r="AP17" i="16" s="1"/>
  <c r="AQ17" i="16" s="1"/>
  <c r="AR17" i="16" s="1"/>
  <c r="AS17" i="16" s="1"/>
  <c r="AT17" i="16" s="1"/>
  <c r="AU17" i="16" s="1"/>
  <c r="AV17" i="16" s="1"/>
  <c r="AW17" i="16" s="1"/>
  <c r="AX17" i="16" s="1"/>
  <c r="AY17" i="16" s="1"/>
  <c r="AZ17" i="16" s="1"/>
  <c r="BA17" i="16" s="1"/>
  <c r="BB17" i="16" s="1"/>
  <c r="BC17" i="16" s="1"/>
  <c r="BD17" i="16" s="1"/>
  <c r="BE17" i="16" s="1"/>
  <c r="BF17" i="16" s="1"/>
  <c r="BG17" i="16" s="1"/>
  <c r="BH17" i="16" s="1"/>
  <c r="BI17" i="16" s="1"/>
  <c r="BJ17" i="16" s="1"/>
  <c r="BK17" i="16" s="1"/>
  <c r="BL17" i="16" s="1"/>
  <c r="BM17" i="16" s="1"/>
  <c r="BN17" i="16" s="1"/>
  <c r="BO17" i="16" s="1"/>
  <c r="BP17" i="16" s="1"/>
  <c r="BQ17" i="16" s="1"/>
  <c r="BR17" i="16" s="1"/>
  <c r="BS17" i="16" s="1"/>
  <c r="BT17" i="16" s="1"/>
  <c r="BU17" i="16" s="1"/>
  <c r="BV17" i="16" s="1"/>
  <c r="BW17" i="16" s="1"/>
  <c r="BX17" i="16" s="1"/>
  <c r="BY17" i="16" s="1"/>
  <c r="BZ17" i="16" s="1"/>
  <c r="CA17" i="16" s="1"/>
  <c r="CB17" i="16" s="1"/>
  <c r="CC17" i="16" s="1"/>
  <c r="CD17" i="16" s="1"/>
  <c r="CE17" i="16" s="1"/>
  <c r="CF17" i="16" s="1"/>
  <c r="CG17" i="16" s="1"/>
  <c r="CH17" i="16" s="1"/>
  <c r="CI17" i="16" s="1"/>
  <c r="CJ17" i="16" s="1"/>
  <c r="CK17" i="16" s="1"/>
  <c r="CL17" i="16" s="1"/>
  <c r="CM17" i="16" s="1"/>
  <c r="M15" i="16"/>
  <c r="N15" i="16" s="1"/>
  <c r="O15" i="16" s="1"/>
  <c r="P15" i="16" s="1"/>
  <c r="Q15" i="16" s="1"/>
  <c r="R15" i="16" s="1"/>
  <c r="S15" i="16" s="1"/>
  <c r="T15" i="16" s="1"/>
  <c r="U15" i="16" s="1"/>
  <c r="V15" i="16" s="1"/>
  <c r="W15" i="16" s="1"/>
  <c r="X15" i="16" s="1"/>
  <c r="Y15" i="16" s="1"/>
  <c r="Z15" i="16" s="1"/>
  <c r="AA15" i="16" s="1"/>
  <c r="AB15" i="16" s="1"/>
  <c r="AC15" i="16" s="1"/>
  <c r="AD15" i="16" s="1"/>
  <c r="AE15" i="16" s="1"/>
  <c r="AF15" i="16" s="1"/>
  <c r="AG15" i="16" s="1"/>
  <c r="AH15" i="16" s="1"/>
  <c r="AI15" i="16" s="1"/>
  <c r="AJ15" i="16" s="1"/>
  <c r="AK15" i="16" s="1"/>
  <c r="AL15" i="16" s="1"/>
  <c r="AM15" i="16" s="1"/>
  <c r="AN15" i="16" s="1"/>
  <c r="AO15" i="16" s="1"/>
  <c r="AP15" i="16" s="1"/>
  <c r="AQ15" i="16" s="1"/>
  <c r="AR15" i="16" s="1"/>
  <c r="AS15" i="16" s="1"/>
  <c r="AT15" i="16" s="1"/>
  <c r="AU15" i="16" s="1"/>
  <c r="AV15" i="16" s="1"/>
  <c r="AW15" i="16" s="1"/>
  <c r="AX15" i="16" s="1"/>
  <c r="AY15" i="16" s="1"/>
  <c r="AZ15" i="16" s="1"/>
  <c r="BA15" i="16" s="1"/>
  <c r="BB15" i="16" s="1"/>
  <c r="BC15" i="16" s="1"/>
  <c r="BD15" i="16" s="1"/>
  <c r="BE15" i="16" s="1"/>
  <c r="BF15" i="16" s="1"/>
  <c r="BG15" i="16" s="1"/>
  <c r="BH15" i="16" s="1"/>
  <c r="BI15" i="16" s="1"/>
  <c r="BJ15" i="16" s="1"/>
  <c r="BK15" i="16" s="1"/>
  <c r="BL15" i="16" s="1"/>
  <c r="BM15" i="16" s="1"/>
  <c r="BN15" i="16" s="1"/>
  <c r="BO15" i="16" s="1"/>
  <c r="BP15" i="16" s="1"/>
  <c r="BQ15" i="16" s="1"/>
  <c r="BR15" i="16" s="1"/>
  <c r="BS15" i="16" s="1"/>
  <c r="BT15" i="16" s="1"/>
  <c r="BU15" i="16" s="1"/>
  <c r="BV15" i="16" s="1"/>
  <c r="BW15" i="16" s="1"/>
  <c r="BX15" i="16" s="1"/>
  <c r="BY15" i="16" s="1"/>
  <c r="BZ15" i="16" s="1"/>
  <c r="CA15" i="16" s="1"/>
  <c r="CB15" i="16" s="1"/>
  <c r="CC15" i="16" s="1"/>
  <c r="CD15" i="16" s="1"/>
  <c r="CE15" i="16" s="1"/>
  <c r="CF15" i="16" s="1"/>
  <c r="CG15" i="16" s="1"/>
  <c r="CH15" i="16" s="1"/>
  <c r="CI15" i="16" s="1"/>
  <c r="CJ15" i="16" s="1"/>
  <c r="CK15" i="16" s="1"/>
  <c r="CL15" i="16" s="1"/>
  <c r="CM15" i="16" s="1"/>
  <c r="M23" i="16"/>
  <c r="N23" i="16" s="1"/>
  <c r="O23" i="16" s="1"/>
  <c r="P23" i="16" s="1"/>
  <c r="Q23" i="16" s="1"/>
  <c r="R23" i="16" s="1"/>
  <c r="S23" i="16" s="1"/>
  <c r="T23" i="16" s="1"/>
  <c r="U23" i="16" s="1"/>
  <c r="V23" i="16" s="1"/>
  <c r="W23" i="16" s="1"/>
  <c r="X23" i="16" s="1"/>
  <c r="Y23" i="16" s="1"/>
  <c r="Z23" i="16" s="1"/>
  <c r="AA23" i="16" s="1"/>
  <c r="AB23" i="16" s="1"/>
  <c r="AC23" i="16" s="1"/>
  <c r="AD23" i="16" s="1"/>
  <c r="AE23" i="16" s="1"/>
  <c r="AF23" i="16" s="1"/>
  <c r="AG23" i="16" s="1"/>
  <c r="AH23" i="16" s="1"/>
  <c r="AI23" i="16" s="1"/>
  <c r="AJ23" i="16" s="1"/>
  <c r="AK23" i="16" s="1"/>
  <c r="AL23" i="16" s="1"/>
  <c r="AM23" i="16" s="1"/>
  <c r="AN23" i="16" s="1"/>
  <c r="AO23" i="16" s="1"/>
  <c r="AP23" i="16" s="1"/>
  <c r="AQ23" i="16" s="1"/>
  <c r="AR23" i="16" s="1"/>
  <c r="AS23" i="16" s="1"/>
  <c r="AT23" i="16" s="1"/>
  <c r="AU23" i="16" s="1"/>
  <c r="AV23" i="16" s="1"/>
  <c r="AW23" i="16" s="1"/>
  <c r="AX23" i="16" s="1"/>
  <c r="AY23" i="16" s="1"/>
  <c r="AZ23" i="16" s="1"/>
  <c r="BA23" i="16" s="1"/>
  <c r="BB23" i="16" s="1"/>
  <c r="BC23" i="16" s="1"/>
  <c r="BD23" i="16" s="1"/>
  <c r="BE23" i="16" s="1"/>
  <c r="BF23" i="16" s="1"/>
  <c r="BG23" i="16" s="1"/>
  <c r="BH23" i="16" s="1"/>
  <c r="BI23" i="16" s="1"/>
  <c r="BJ23" i="16" s="1"/>
  <c r="BK23" i="16" s="1"/>
  <c r="BL23" i="16" s="1"/>
  <c r="BM23" i="16" s="1"/>
  <c r="BN23" i="16" s="1"/>
  <c r="BO23" i="16" s="1"/>
  <c r="BP23" i="16" s="1"/>
  <c r="BQ23" i="16" s="1"/>
  <c r="BR23" i="16" s="1"/>
  <c r="BS23" i="16" s="1"/>
  <c r="BT23" i="16" s="1"/>
  <c r="BU23" i="16" s="1"/>
  <c r="BV23" i="16" s="1"/>
  <c r="BW23" i="16" s="1"/>
  <c r="BX23" i="16" s="1"/>
  <c r="BY23" i="16" s="1"/>
  <c r="BZ23" i="16" s="1"/>
  <c r="CA23" i="16" s="1"/>
  <c r="CB23" i="16" s="1"/>
  <c r="CC23" i="16" s="1"/>
  <c r="CD23" i="16" s="1"/>
  <c r="CE23" i="16" s="1"/>
  <c r="CF23" i="16" s="1"/>
  <c r="CG23" i="16" s="1"/>
  <c r="CH23" i="16" s="1"/>
  <c r="CI23" i="16" s="1"/>
  <c r="CJ23" i="16" s="1"/>
  <c r="CK23" i="16" s="1"/>
  <c r="CL23" i="16" s="1"/>
  <c r="CM23" i="16" s="1"/>
  <c r="M13" i="16"/>
  <c r="N13" i="16" s="1"/>
  <c r="O13" i="16" s="1"/>
  <c r="P13" i="16" s="1"/>
  <c r="Q13" i="16" s="1"/>
  <c r="R13" i="16" s="1"/>
  <c r="S13" i="16" s="1"/>
  <c r="T13" i="16" s="1"/>
  <c r="U13" i="16" s="1"/>
  <c r="V13" i="16" s="1"/>
  <c r="W13" i="16" s="1"/>
  <c r="X13" i="16" s="1"/>
  <c r="Y13" i="16" s="1"/>
  <c r="Z13" i="16" s="1"/>
  <c r="AA13" i="16" s="1"/>
  <c r="AB13" i="16" s="1"/>
  <c r="AC13" i="16" s="1"/>
  <c r="AD13" i="16" s="1"/>
  <c r="AE13" i="16" s="1"/>
  <c r="AF13" i="16" s="1"/>
  <c r="AG13" i="16" s="1"/>
  <c r="AH13" i="16" s="1"/>
  <c r="AI13" i="16" s="1"/>
  <c r="AJ13" i="16" s="1"/>
  <c r="AK13" i="16" s="1"/>
  <c r="AL13" i="16" s="1"/>
  <c r="AM13" i="16" s="1"/>
  <c r="AN13" i="16" s="1"/>
  <c r="AO13" i="16" s="1"/>
  <c r="AP13" i="16" s="1"/>
  <c r="AQ13" i="16" s="1"/>
  <c r="AR13" i="16" s="1"/>
  <c r="AS13" i="16" s="1"/>
  <c r="AT13" i="16" s="1"/>
  <c r="AU13" i="16" s="1"/>
  <c r="AV13" i="16" s="1"/>
  <c r="AW13" i="16" s="1"/>
  <c r="AX13" i="16" s="1"/>
  <c r="AY13" i="16" s="1"/>
  <c r="AZ13" i="16" s="1"/>
  <c r="BA13" i="16" s="1"/>
  <c r="BB13" i="16" s="1"/>
  <c r="BC13" i="16" s="1"/>
  <c r="BD13" i="16" s="1"/>
  <c r="BE13" i="16" s="1"/>
  <c r="BF13" i="16" s="1"/>
  <c r="BG13" i="16" s="1"/>
  <c r="BH13" i="16" s="1"/>
  <c r="BI13" i="16" s="1"/>
  <c r="BJ13" i="16" s="1"/>
  <c r="M21" i="16"/>
  <c r="N21" i="16" s="1"/>
  <c r="O21" i="16" s="1"/>
  <c r="P21" i="16" s="1"/>
  <c r="Q21" i="16" s="1"/>
  <c r="R21" i="16" s="1"/>
  <c r="S21" i="16" s="1"/>
  <c r="T21" i="16" s="1"/>
  <c r="U21" i="16" s="1"/>
  <c r="V21" i="16" s="1"/>
  <c r="W21" i="16" s="1"/>
  <c r="X21" i="16" s="1"/>
  <c r="Y21" i="16" s="1"/>
  <c r="Z21" i="16" s="1"/>
  <c r="AA21" i="16" s="1"/>
  <c r="AB21" i="16" s="1"/>
  <c r="AC21" i="16" s="1"/>
  <c r="AD21" i="16" s="1"/>
  <c r="AE21" i="16" s="1"/>
  <c r="AF21" i="16" s="1"/>
  <c r="AG21" i="16" s="1"/>
  <c r="AH21" i="16" s="1"/>
  <c r="AI21" i="16" s="1"/>
  <c r="AJ21" i="16" s="1"/>
  <c r="AK21" i="16" s="1"/>
  <c r="AL21" i="16" s="1"/>
  <c r="AM21" i="16" s="1"/>
  <c r="AN21" i="16" s="1"/>
  <c r="AO21" i="16" s="1"/>
  <c r="AP21" i="16" s="1"/>
  <c r="AQ21" i="16" s="1"/>
  <c r="AR21" i="16" s="1"/>
  <c r="AS21" i="16" s="1"/>
  <c r="AT21" i="16" s="1"/>
  <c r="AU21" i="16" s="1"/>
  <c r="AV21" i="16" s="1"/>
  <c r="AW21" i="16" s="1"/>
  <c r="AX21" i="16" s="1"/>
  <c r="AY21" i="16" s="1"/>
  <c r="AZ21" i="16" s="1"/>
  <c r="BA21" i="16" s="1"/>
  <c r="BB21" i="16" s="1"/>
  <c r="BC21" i="16" s="1"/>
  <c r="BD21" i="16" s="1"/>
  <c r="BE21" i="16" s="1"/>
  <c r="BF21" i="16" s="1"/>
  <c r="BG21" i="16" s="1"/>
  <c r="BH21" i="16" s="1"/>
  <c r="BI21" i="16" s="1"/>
  <c r="BJ21" i="16" s="1"/>
  <c r="BK21" i="16" s="1"/>
  <c r="BL21" i="16" s="1"/>
  <c r="BM21" i="16" s="1"/>
  <c r="BN21" i="16" s="1"/>
  <c r="BO21" i="16" s="1"/>
  <c r="BP21" i="16" s="1"/>
  <c r="BQ21" i="16" s="1"/>
  <c r="BR21" i="16" s="1"/>
  <c r="BS21" i="16" s="1"/>
  <c r="BT21" i="16" s="1"/>
  <c r="BU21" i="16" s="1"/>
  <c r="BV21" i="16" s="1"/>
  <c r="BW21" i="16" s="1"/>
  <c r="BX21" i="16" s="1"/>
  <c r="BY21" i="16" s="1"/>
  <c r="BZ21" i="16" s="1"/>
  <c r="CA21" i="16" s="1"/>
  <c r="CB21" i="16" s="1"/>
  <c r="CC21" i="16" s="1"/>
  <c r="CD21" i="16" s="1"/>
  <c r="CE21" i="16" s="1"/>
  <c r="CF21" i="16" s="1"/>
  <c r="CG21" i="16" s="1"/>
  <c r="CH21" i="16" s="1"/>
  <c r="CI21" i="16" s="1"/>
  <c r="CJ21" i="16" s="1"/>
  <c r="CK21" i="16" s="1"/>
  <c r="CL21" i="16" s="1"/>
  <c r="CM21" i="16" s="1"/>
  <c r="M18" i="16"/>
  <c r="N18" i="16" s="1"/>
  <c r="O18" i="16" s="1"/>
  <c r="P18" i="16" s="1"/>
  <c r="Q18" i="16" s="1"/>
  <c r="R18" i="16" s="1"/>
  <c r="S18" i="16" s="1"/>
  <c r="T18" i="16" s="1"/>
  <c r="U18" i="16" s="1"/>
  <c r="V18" i="16" s="1"/>
  <c r="W18" i="16" s="1"/>
  <c r="X18" i="16" s="1"/>
  <c r="Y18" i="16" s="1"/>
  <c r="Z18" i="16" s="1"/>
  <c r="AA18" i="16" s="1"/>
  <c r="AB18" i="16" s="1"/>
  <c r="AC18" i="16" s="1"/>
  <c r="AD18" i="16" s="1"/>
  <c r="AE18" i="16" s="1"/>
  <c r="AF18" i="16" s="1"/>
  <c r="AG18" i="16" s="1"/>
  <c r="AH18" i="16" s="1"/>
  <c r="AI18" i="16" s="1"/>
  <c r="AJ18" i="16" s="1"/>
  <c r="AK18" i="16" s="1"/>
  <c r="AL18" i="16" s="1"/>
  <c r="AM18" i="16" s="1"/>
  <c r="AN18" i="16" s="1"/>
  <c r="AO18" i="16" s="1"/>
  <c r="AP18" i="16" s="1"/>
  <c r="AQ18" i="16" s="1"/>
  <c r="AR18" i="16" s="1"/>
  <c r="AS18" i="16" s="1"/>
  <c r="AT18" i="16" s="1"/>
  <c r="AU18" i="16" s="1"/>
  <c r="AV18" i="16" s="1"/>
  <c r="AW18" i="16" s="1"/>
  <c r="AX18" i="16" s="1"/>
  <c r="AY18" i="16" s="1"/>
  <c r="AZ18" i="16" s="1"/>
  <c r="BA18" i="16" s="1"/>
  <c r="BB18" i="16" s="1"/>
  <c r="BC18" i="16" s="1"/>
  <c r="BD18" i="16" s="1"/>
  <c r="BE18" i="16" s="1"/>
  <c r="BF18" i="16" s="1"/>
  <c r="BG18" i="16" s="1"/>
  <c r="BH18" i="16" s="1"/>
  <c r="BI18" i="16" s="1"/>
  <c r="BJ18" i="16" s="1"/>
  <c r="BK18" i="16" s="1"/>
  <c r="BL18" i="16" s="1"/>
  <c r="BM18" i="16" s="1"/>
  <c r="BN18" i="16" s="1"/>
  <c r="BO18" i="16" s="1"/>
  <c r="BP18" i="16" s="1"/>
  <c r="BQ18" i="16" s="1"/>
  <c r="BR18" i="16" s="1"/>
  <c r="BS18" i="16" s="1"/>
  <c r="BT18" i="16" s="1"/>
  <c r="BU18" i="16" s="1"/>
  <c r="BV18" i="16" s="1"/>
  <c r="BW18" i="16" s="1"/>
  <c r="BX18" i="16" s="1"/>
  <c r="BY18" i="16" s="1"/>
  <c r="BZ18" i="16" s="1"/>
  <c r="CA18" i="16" s="1"/>
  <c r="CB18" i="16" s="1"/>
  <c r="CC18" i="16" s="1"/>
  <c r="CD18" i="16" s="1"/>
  <c r="CE18" i="16" s="1"/>
  <c r="CF18" i="16" s="1"/>
  <c r="CG18" i="16" s="1"/>
  <c r="CH18" i="16" s="1"/>
  <c r="CI18" i="16" s="1"/>
  <c r="CJ18" i="16" s="1"/>
  <c r="CK18" i="16" s="1"/>
  <c r="CL18" i="16" s="1"/>
  <c r="CM18" i="16" s="1"/>
  <c r="M19" i="16"/>
  <c r="N19" i="16" s="1"/>
  <c r="O19" i="16" s="1"/>
  <c r="P19" i="16" s="1"/>
  <c r="Q19" i="16" s="1"/>
  <c r="R19" i="16" s="1"/>
  <c r="S19" i="16" s="1"/>
  <c r="T19" i="16" s="1"/>
  <c r="U19" i="16" s="1"/>
  <c r="V19" i="16" s="1"/>
  <c r="W19" i="16" s="1"/>
  <c r="X19" i="16" s="1"/>
  <c r="Y19" i="16" s="1"/>
  <c r="Z19" i="16" s="1"/>
  <c r="AA19" i="16" s="1"/>
  <c r="AB19" i="16" s="1"/>
  <c r="AC19" i="16" s="1"/>
  <c r="AD19" i="16" s="1"/>
  <c r="AE19" i="16" s="1"/>
  <c r="AF19" i="16" s="1"/>
  <c r="AG19" i="16" s="1"/>
  <c r="AH19" i="16" s="1"/>
  <c r="AI19" i="16" s="1"/>
  <c r="AJ19" i="16" s="1"/>
  <c r="AK19" i="16" s="1"/>
  <c r="AL19" i="16" s="1"/>
  <c r="AM19" i="16" s="1"/>
  <c r="AN19" i="16" s="1"/>
  <c r="AO19" i="16" s="1"/>
  <c r="AP19" i="16" s="1"/>
  <c r="AQ19" i="16" s="1"/>
  <c r="AR19" i="16" s="1"/>
  <c r="AS19" i="16" s="1"/>
  <c r="AT19" i="16" s="1"/>
  <c r="AU19" i="16" s="1"/>
  <c r="AV19" i="16" s="1"/>
  <c r="AW19" i="16" s="1"/>
  <c r="AX19" i="16" s="1"/>
  <c r="AY19" i="16" s="1"/>
  <c r="AZ19" i="16" s="1"/>
  <c r="BA19" i="16" s="1"/>
  <c r="BB19" i="16" s="1"/>
  <c r="BC19" i="16" s="1"/>
  <c r="BD19" i="16" s="1"/>
  <c r="BE19" i="16" s="1"/>
  <c r="BF19" i="16" s="1"/>
  <c r="BG19" i="16" s="1"/>
  <c r="BH19" i="16" s="1"/>
  <c r="BI19" i="16" s="1"/>
  <c r="BJ19" i="16" s="1"/>
  <c r="BK19" i="16" s="1"/>
  <c r="BL19" i="16" s="1"/>
  <c r="BM19" i="16" s="1"/>
  <c r="BN19" i="16" s="1"/>
  <c r="BO19" i="16" s="1"/>
  <c r="BP19" i="16" s="1"/>
  <c r="BQ19" i="16" s="1"/>
  <c r="BR19" i="16" s="1"/>
  <c r="BS19" i="16" s="1"/>
  <c r="BT19" i="16" s="1"/>
  <c r="BU19" i="16" s="1"/>
  <c r="BV19" i="16" s="1"/>
  <c r="BW19" i="16" s="1"/>
  <c r="BX19" i="16" s="1"/>
  <c r="BY19" i="16" s="1"/>
  <c r="BZ19" i="16" s="1"/>
  <c r="CA19" i="16" s="1"/>
  <c r="CB19" i="16" s="1"/>
  <c r="CC19" i="16" s="1"/>
  <c r="CD19" i="16" s="1"/>
  <c r="CE19" i="16" s="1"/>
  <c r="CF19" i="16" s="1"/>
  <c r="CG19" i="16" s="1"/>
  <c r="CH19" i="16" s="1"/>
  <c r="CI19" i="16" s="1"/>
  <c r="CJ19" i="16" s="1"/>
  <c r="CK19" i="16" s="1"/>
  <c r="CL19" i="16" s="1"/>
  <c r="CM19" i="16" s="1"/>
  <c r="M9" i="16"/>
  <c r="N9" i="16" s="1"/>
  <c r="O9" i="16" s="1"/>
  <c r="P9" i="16" s="1"/>
  <c r="Q9" i="16" s="1"/>
  <c r="R9" i="16" s="1"/>
  <c r="S9" i="16" s="1"/>
  <c r="T9" i="16" s="1"/>
  <c r="U9" i="16" s="1"/>
  <c r="V9" i="16" s="1"/>
  <c r="W9" i="16" s="1"/>
  <c r="X9" i="16" s="1"/>
  <c r="Y9" i="16" s="1"/>
  <c r="Z9" i="16" s="1"/>
  <c r="AA9" i="16" s="1"/>
  <c r="AB9" i="16" s="1"/>
  <c r="AC9" i="16" s="1"/>
  <c r="AD9" i="16" s="1"/>
  <c r="AE9" i="16" s="1"/>
  <c r="AF9" i="16" s="1"/>
  <c r="AG9" i="16" s="1"/>
  <c r="AH9" i="16" s="1"/>
  <c r="AI9" i="16" s="1"/>
  <c r="AJ9" i="16" s="1"/>
  <c r="AK9" i="16" s="1"/>
  <c r="AL9" i="16" s="1"/>
  <c r="AM9" i="16" s="1"/>
  <c r="AN9" i="16" s="1"/>
  <c r="AO9" i="16" s="1"/>
  <c r="AP9" i="16" s="1"/>
  <c r="AQ9" i="16" s="1"/>
  <c r="AR9" i="16" s="1"/>
  <c r="AS9" i="16" s="1"/>
  <c r="AT9" i="16" s="1"/>
  <c r="AU9" i="16" s="1"/>
  <c r="AV9" i="16" s="1"/>
  <c r="AW9" i="16" s="1"/>
  <c r="AX9" i="16" s="1"/>
  <c r="AY9" i="16" s="1"/>
  <c r="AZ9" i="16" s="1"/>
  <c r="BA9" i="16" s="1"/>
  <c r="BB9" i="16" s="1"/>
  <c r="BC9" i="16" s="1"/>
  <c r="BD9" i="16" s="1"/>
  <c r="BE9" i="16" s="1"/>
  <c r="BF9" i="16" s="1"/>
  <c r="BG9" i="16" s="1"/>
  <c r="BH9" i="16" s="1"/>
  <c r="BI9" i="16" s="1"/>
  <c r="BJ9" i="16" s="1"/>
  <c r="BK9" i="16" s="1"/>
  <c r="BL9" i="16" s="1"/>
  <c r="BM9" i="16" s="1"/>
  <c r="BN9" i="16" s="1"/>
  <c r="BO9" i="16" s="1"/>
  <c r="BP9" i="16" s="1"/>
  <c r="BQ9" i="16" s="1"/>
  <c r="BR9" i="16" s="1"/>
  <c r="BS9" i="16" s="1"/>
  <c r="BT9" i="16" s="1"/>
  <c r="BU9" i="16" s="1"/>
  <c r="BV9" i="16" s="1"/>
  <c r="BW9" i="16" s="1"/>
  <c r="BX9" i="16" s="1"/>
  <c r="BY9" i="16" s="1"/>
  <c r="BZ9" i="16" s="1"/>
  <c r="CA9" i="16" s="1"/>
  <c r="CB9" i="16" s="1"/>
  <c r="CC9" i="16" s="1"/>
  <c r="CD9" i="16" s="1"/>
  <c r="CE9" i="16" s="1"/>
  <c r="CF9" i="16" s="1"/>
  <c r="CG9" i="16" s="1"/>
  <c r="CH9" i="16" s="1"/>
  <c r="CI9" i="16" s="1"/>
  <c r="CJ9" i="16" s="1"/>
  <c r="CK9" i="16" s="1"/>
  <c r="CL9" i="16" s="1"/>
  <c r="CM9" i="16" s="1"/>
  <c r="M10" i="16"/>
  <c r="N10" i="16" s="1"/>
  <c r="O10" i="16" s="1"/>
  <c r="P10" i="16" s="1"/>
  <c r="Q10" i="16" s="1"/>
  <c r="R10" i="16" s="1"/>
  <c r="S10" i="16" s="1"/>
  <c r="T10" i="16" s="1"/>
  <c r="U10" i="16" s="1"/>
  <c r="V10" i="16" s="1"/>
  <c r="W10" i="16" s="1"/>
  <c r="X10" i="16" s="1"/>
  <c r="Y10" i="16" s="1"/>
  <c r="Z10" i="16" s="1"/>
  <c r="AA10" i="16" s="1"/>
  <c r="AB10" i="16" s="1"/>
  <c r="AC10" i="16" s="1"/>
  <c r="AD10" i="16" s="1"/>
  <c r="AE10" i="16" s="1"/>
  <c r="AF10" i="16" s="1"/>
  <c r="AG10" i="16" s="1"/>
  <c r="AH10" i="16" s="1"/>
  <c r="AI10" i="16" s="1"/>
  <c r="AJ10" i="16" s="1"/>
  <c r="AK10" i="16" s="1"/>
  <c r="AL10" i="16" s="1"/>
  <c r="AM10" i="16" s="1"/>
  <c r="AN10" i="16" s="1"/>
  <c r="AO10" i="16" s="1"/>
  <c r="AP10" i="16" s="1"/>
  <c r="AQ10" i="16" s="1"/>
  <c r="AR10" i="16" s="1"/>
  <c r="AS10" i="16" s="1"/>
  <c r="AT10" i="16" s="1"/>
  <c r="AU10" i="16" s="1"/>
  <c r="AV10" i="16" s="1"/>
  <c r="AW10" i="16" s="1"/>
  <c r="AX10" i="16" s="1"/>
  <c r="AY10" i="16" s="1"/>
  <c r="AZ10" i="16" s="1"/>
  <c r="BA10" i="16" s="1"/>
  <c r="BB10" i="16" s="1"/>
  <c r="BC10" i="16" s="1"/>
  <c r="BD10" i="16" s="1"/>
  <c r="BE10" i="16" s="1"/>
  <c r="BF10" i="16" s="1"/>
  <c r="BG10" i="16" s="1"/>
  <c r="BH10" i="16" s="1"/>
  <c r="BI10" i="16" s="1"/>
  <c r="BJ10" i="16" s="1"/>
  <c r="BK10" i="16" s="1"/>
  <c r="BL10" i="16" s="1"/>
  <c r="BM10" i="16" s="1"/>
  <c r="BN10" i="16" s="1"/>
  <c r="BO10" i="16" s="1"/>
  <c r="BP10" i="16" s="1"/>
  <c r="BQ10" i="16" s="1"/>
  <c r="BR10" i="16" s="1"/>
  <c r="BS10" i="16" s="1"/>
  <c r="BT10" i="16" s="1"/>
  <c r="BU10" i="16" s="1"/>
  <c r="BV10" i="16" s="1"/>
  <c r="BW10" i="16" s="1"/>
  <c r="BX10" i="16" s="1"/>
  <c r="BY10" i="16" s="1"/>
  <c r="BZ10" i="16" s="1"/>
  <c r="CA10" i="16" s="1"/>
  <c r="CB10" i="16" s="1"/>
  <c r="CC10" i="16" s="1"/>
  <c r="CD10" i="16" s="1"/>
  <c r="CE10" i="16" s="1"/>
  <c r="CF10" i="16" s="1"/>
  <c r="CG10" i="16" s="1"/>
  <c r="CH10" i="16" s="1"/>
  <c r="CI10" i="16" s="1"/>
  <c r="CJ10" i="16" s="1"/>
  <c r="CK10" i="16" s="1"/>
  <c r="CL10" i="16" s="1"/>
  <c r="CM10" i="16" s="1"/>
  <c r="M22" i="16"/>
  <c r="N22" i="16" s="1"/>
  <c r="O22" i="16" s="1"/>
  <c r="P22" i="16" s="1"/>
  <c r="Q22" i="16" s="1"/>
  <c r="R22" i="16" s="1"/>
  <c r="S22" i="16" s="1"/>
  <c r="T22" i="16" s="1"/>
  <c r="U22" i="16" s="1"/>
  <c r="V22" i="16" s="1"/>
  <c r="W22" i="16" s="1"/>
  <c r="X22" i="16" s="1"/>
  <c r="Y22" i="16" s="1"/>
  <c r="Z22" i="16" s="1"/>
  <c r="AA22" i="16" s="1"/>
  <c r="AB22" i="16" s="1"/>
  <c r="AC22" i="16" s="1"/>
  <c r="AD22" i="16" s="1"/>
  <c r="AE22" i="16" s="1"/>
  <c r="AF22" i="16" s="1"/>
  <c r="AG22" i="16" s="1"/>
  <c r="AH22" i="16" s="1"/>
  <c r="AI22" i="16" s="1"/>
  <c r="AJ22" i="16" s="1"/>
  <c r="AK22" i="16" s="1"/>
  <c r="AL22" i="16" s="1"/>
  <c r="AM22" i="16" s="1"/>
  <c r="AN22" i="16" s="1"/>
  <c r="AO22" i="16" s="1"/>
  <c r="AP22" i="16" s="1"/>
  <c r="AQ22" i="16" s="1"/>
  <c r="AR22" i="16" s="1"/>
  <c r="AS22" i="16" s="1"/>
  <c r="AT22" i="16" s="1"/>
  <c r="AU22" i="16" s="1"/>
  <c r="AV22" i="16" s="1"/>
  <c r="AW22" i="16" s="1"/>
  <c r="AX22" i="16" s="1"/>
  <c r="AY22" i="16" s="1"/>
  <c r="AZ22" i="16" s="1"/>
  <c r="BA22" i="16" s="1"/>
  <c r="BB22" i="16" s="1"/>
  <c r="BC22" i="16" s="1"/>
  <c r="BD22" i="16" s="1"/>
  <c r="BE22" i="16" s="1"/>
  <c r="BF22" i="16" s="1"/>
  <c r="BG22" i="16" s="1"/>
  <c r="BH22" i="16" s="1"/>
  <c r="BI22" i="16" s="1"/>
  <c r="BJ22" i="16" s="1"/>
  <c r="BK22" i="16" s="1"/>
  <c r="BL22" i="16" s="1"/>
  <c r="BM22" i="16" s="1"/>
  <c r="BN22" i="16" s="1"/>
  <c r="BO22" i="16" s="1"/>
  <c r="BP22" i="16" s="1"/>
  <c r="BQ22" i="16" s="1"/>
  <c r="BR22" i="16" s="1"/>
  <c r="BS22" i="16" s="1"/>
  <c r="BT22" i="16" s="1"/>
  <c r="BU22" i="16" s="1"/>
  <c r="BV22" i="16" s="1"/>
  <c r="BW22" i="16" s="1"/>
  <c r="BX22" i="16" s="1"/>
  <c r="BY22" i="16" s="1"/>
  <c r="BZ22" i="16" s="1"/>
  <c r="CA22" i="16" s="1"/>
  <c r="CB22" i="16" s="1"/>
  <c r="CC22" i="16" s="1"/>
  <c r="CD22" i="16" s="1"/>
  <c r="CE22" i="16" s="1"/>
  <c r="CF22" i="16" s="1"/>
  <c r="CG22" i="16" s="1"/>
  <c r="CH22" i="16" s="1"/>
  <c r="CI22" i="16" s="1"/>
  <c r="CJ22" i="16" s="1"/>
  <c r="CK22" i="16" s="1"/>
  <c r="CL22" i="16" s="1"/>
  <c r="CM22" i="16" s="1"/>
  <c r="M12" i="16"/>
  <c r="M20" i="16"/>
  <c r="N20" i="16" s="1"/>
  <c r="O20" i="16" s="1"/>
  <c r="P20" i="16" s="1"/>
  <c r="Q20" i="16" s="1"/>
  <c r="R20" i="16" s="1"/>
  <c r="S20" i="16" s="1"/>
  <c r="T20" i="16" s="1"/>
  <c r="U20" i="16" s="1"/>
  <c r="V20" i="16" s="1"/>
  <c r="W20" i="16" s="1"/>
  <c r="X20" i="16" s="1"/>
  <c r="Y20" i="16" s="1"/>
  <c r="Z20" i="16" s="1"/>
  <c r="AA20" i="16" s="1"/>
  <c r="AB20" i="16" s="1"/>
  <c r="AC20" i="16" s="1"/>
  <c r="AD20" i="16" s="1"/>
  <c r="AE20" i="16" s="1"/>
  <c r="AF20" i="16" s="1"/>
  <c r="AG20" i="16" s="1"/>
  <c r="AH20" i="16" s="1"/>
  <c r="AI20" i="16" s="1"/>
  <c r="AJ20" i="16" s="1"/>
  <c r="AK20" i="16" s="1"/>
  <c r="AL20" i="16" s="1"/>
  <c r="AM20" i="16" s="1"/>
  <c r="AN20" i="16" s="1"/>
  <c r="AO20" i="16" s="1"/>
  <c r="AP20" i="16" s="1"/>
  <c r="AQ20" i="16" s="1"/>
  <c r="AR20" i="16" s="1"/>
  <c r="AS20" i="16" s="1"/>
  <c r="AT20" i="16" s="1"/>
  <c r="AU20" i="16" s="1"/>
  <c r="AV20" i="16" s="1"/>
  <c r="AW20" i="16" s="1"/>
  <c r="AX20" i="16" s="1"/>
  <c r="AY20" i="16" s="1"/>
  <c r="AZ20" i="16" s="1"/>
  <c r="BA20" i="16" s="1"/>
  <c r="BB20" i="16" s="1"/>
  <c r="BC20" i="16" s="1"/>
  <c r="BD20" i="16" s="1"/>
  <c r="BE20" i="16" s="1"/>
  <c r="BF20" i="16" s="1"/>
  <c r="BG20" i="16" s="1"/>
  <c r="BH20" i="16" s="1"/>
  <c r="BI20" i="16" s="1"/>
  <c r="BJ20" i="16" s="1"/>
  <c r="BK20" i="16" s="1"/>
  <c r="BL20" i="16" s="1"/>
  <c r="BM20" i="16" s="1"/>
  <c r="BN20" i="16" s="1"/>
  <c r="BO20" i="16" s="1"/>
  <c r="BP20" i="16" s="1"/>
  <c r="BQ20" i="16" s="1"/>
  <c r="BR20" i="16" s="1"/>
  <c r="BS20" i="16" s="1"/>
  <c r="BT20" i="16" s="1"/>
  <c r="BU20" i="16" s="1"/>
  <c r="BV20" i="16" s="1"/>
  <c r="BW20" i="16" s="1"/>
  <c r="BX20" i="16" s="1"/>
  <c r="BY20" i="16" s="1"/>
  <c r="BZ20" i="16" s="1"/>
  <c r="CA20" i="16" s="1"/>
  <c r="CB20" i="16" s="1"/>
  <c r="CC20" i="16" s="1"/>
  <c r="CD20" i="16" s="1"/>
  <c r="CE20" i="16" s="1"/>
  <c r="CF20" i="16" s="1"/>
  <c r="CG20" i="16" s="1"/>
  <c r="CH20" i="16" s="1"/>
  <c r="CI20" i="16" s="1"/>
  <c r="CJ20" i="16" s="1"/>
  <c r="CK20" i="16" s="1"/>
  <c r="CL20" i="16" s="1"/>
  <c r="CM20" i="16" s="1"/>
  <c r="M11" i="16"/>
  <c r="N11" i="16" s="1"/>
  <c r="O11" i="16" s="1"/>
  <c r="P11" i="16" s="1"/>
  <c r="Q11" i="16" s="1"/>
  <c r="R11" i="16" s="1"/>
  <c r="S11" i="16" s="1"/>
  <c r="T11" i="16" s="1"/>
  <c r="U11" i="16" s="1"/>
  <c r="V11" i="16" s="1"/>
  <c r="W11" i="16" s="1"/>
  <c r="X11" i="16" s="1"/>
  <c r="Y11" i="16" s="1"/>
  <c r="Z11" i="16" s="1"/>
  <c r="AA11" i="16" s="1"/>
  <c r="AB11" i="16" s="1"/>
  <c r="AC11" i="16" s="1"/>
  <c r="AD11" i="16" s="1"/>
  <c r="AE11" i="16" s="1"/>
  <c r="AF11" i="16" s="1"/>
  <c r="AG11" i="16" s="1"/>
  <c r="AH11" i="16" s="1"/>
  <c r="AI11" i="16" s="1"/>
  <c r="AJ11" i="16" s="1"/>
  <c r="AK11" i="16" s="1"/>
  <c r="AL11" i="16" s="1"/>
  <c r="AM11" i="16" s="1"/>
  <c r="AN11" i="16" s="1"/>
  <c r="AO11" i="16" s="1"/>
  <c r="AP11" i="16" s="1"/>
  <c r="AQ11" i="16" s="1"/>
  <c r="AR11" i="16" s="1"/>
  <c r="AS11" i="16" s="1"/>
  <c r="AT11" i="16" s="1"/>
  <c r="AU11" i="16" s="1"/>
  <c r="AV11" i="16" s="1"/>
  <c r="AW11" i="16" s="1"/>
  <c r="AX11" i="16" s="1"/>
  <c r="AY11" i="16" s="1"/>
  <c r="AZ11" i="16" s="1"/>
  <c r="BA11" i="16" s="1"/>
  <c r="BB11" i="16" s="1"/>
  <c r="BC11" i="16" s="1"/>
  <c r="BD11" i="16" s="1"/>
  <c r="BE11" i="16" s="1"/>
  <c r="BF11" i="16" s="1"/>
  <c r="BG11" i="16" s="1"/>
  <c r="BH11" i="16" s="1"/>
  <c r="BI11" i="16" s="1"/>
  <c r="BJ11" i="16" s="1"/>
  <c r="BK11" i="16" s="1"/>
  <c r="BL11" i="16" s="1"/>
  <c r="BM11" i="16" s="1"/>
  <c r="BN11" i="16" s="1"/>
  <c r="BO11" i="16" s="1"/>
  <c r="BP11" i="16" s="1"/>
  <c r="BQ11" i="16" s="1"/>
  <c r="BR11" i="16" s="1"/>
  <c r="BS11" i="16" s="1"/>
  <c r="BT11" i="16" s="1"/>
  <c r="BU11" i="16" s="1"/>
  <c r="BV11" i="16" s="1"/>
  <c r="BW11" i="16" s="1"/>
  <c r="BX11" i="16" s="1"/>
  <c r="BY11" i="16" s="1"/>
  <c r="BZ11" i="16" s="1"/>
  <c r="CA11" i="16" s="1"/>
  <c r="CB11" i="16" s="1"/>
  <c r="CC11" i="16" s="1"/>
  <c r="CD11" i="16" s="1"/>
  <c r="CE11" i="16" s="1"/>
  <c r="CF11" i="16" s="1"/>
  <c r="CG11" i="16" s="1"/>
  <c r="CH11" i="16" s="1"/>
  <c r="CI11" i="16" s="1"/>
  <c r="CJ11" i="16" s="1"/>
  <c r="CK11" i="16" s="1"/>
  <c r="CL11" i="16" s="1"/>
  <c r="CM11" i="16" s="1"/>
  <c r="M14" i="16"/>
  <c r="N14" i="16" s="1"/>
  <c r="O14" i="16" s="1"/>
  <c r="P14" i="16" s="1"/>
  <c r="Q14" i="16" s="1"/>
  <c r="R14" i="16" s="1"/>
  <c r="S14" i="16" s="1"/>
  <c r="T14" i="16" s="1"/>
  <c r="U14" i="16" s="1"/>
  <c r="V14" i="16" s="1"/>
  <c r="W14" i="16" s="1"/>
  <c r="X14" i="16" s="1"/>
  <c r="Y14" i="16" s="1"/>
  <c r="Z14" i="16" s="1"/>
  <c r="AA14" i="16" s="1"/>
  <c r="AB14" i="16" s="1"/>
  <c r="AC14" i="16" s="1"/>
  <c r="AD14" i="16" s="1"/>
  <c r="AE14" i="16" s="1"/>
  <c r="AF14" i="16" s="1"/>
  <c r="AG14" i="16" s="1"/>
  <c r="AH14" i="16" s="1"/>
  <c r="AI14" i="16" s="1"/>
  <c r="AJ14" i="16" s="1"/>
  <c r="AK14" i="16" s="1"/>
  <c r="AL14" i="16" s="1"/>
  <c r="AM14" i="16" s="1"/>
  <c r="AN14" i="16" s="1"/>
  <c r="AO14" i="16" s="1"/>
  <c r="AP14" i="16" s="1"/>
  <c r="AQ14" i="16" s="1"/>
  <c r="AR14" i="16" s="1"/>
  <c r="AS14" i="16" s="1"/>
  <c r="AT14" i="16" s="1"/>
  <c r="AU14" i="16" s="1"/>
  <c r="AV14" i="16" s="1"/>
  <c r="AW14" i="16" s="1"/>
  <c r="AX14" i="16" s="1"/>
  <c r="AY14" i="16" s="1"/>
  <c r="AZ14" i="16" s="1"/>
  <c r="BA14" i="16" s="1"/>
  <c r="BB14" i="16" s="1"/>
  <c r="BC14" i="16" s="1"/>
  <c r="BD14" i="16" s="1"/>
  <c r="BE14" i="16" s="1"/>
  <c r="BF14" i="16" s="1"/>
  <c r="BG14" i="16" s="1"/>
  <c r="BH14" i="16" s="1"/>
  <c r="BI14" i="16" s="1"/>
  <c r="BJ14" i="16" s="1"/>
  <c r="BK14" i="16" s="1"/>
  <c r="BL14" i="16" s="1"/>
  <c r="BM14" i="16" s="1"/>
  <c r="BN14" i="16" s="1"/>
  <c r="BO14" i="16" s="1"/>
  <c r="BP14" i="16" s="1"/>
  <c r="BQ14" i="16" s="1"/>
  <c r="BR14" i="16" s="1"/>
  <c r="BS14" i="16" s="1"/>
  <c r="BT14" i="16" s="1"/>
  <c r="BU14" i="16" s="1"/>
  <c r="BV14" i="16" s="1"/>
  <c r="BW14" i="16" s="1"/>
  <c r="BX14" i="16" s="1"/>
  <c r="BY14" i="16" s="1"/>
  <c r="BZ14" i="16" s="1"/>
  <c r="CA14" i="16" s="1"/>
  <c r="CB14" i="16" s="1"/>
  <c r="CC14" i="16" s="1"/>
  <c r="CD14" i="16" s="1"/>
  <c r="CE14" i="16" s="1"/>
  <c r="CF14" i="16" s="1"/>
  <c r="CG14" i="16" s="1"/>
  <c r="CH14" i="16" s="1"/>
  <c r="CI14" i="16" s="1"/>
  <c r="CJ14" i="16" s="1"/>
  <c r="CK14" i="16" s="1"/>
  <c r="CL14" i="16" s="1"/>
  <c r="CM14" i="16" s="1"/>
  <c r="M16" i="16"/>
  <c r="N16" i="16" s="1"/>
  <c r="O16" i="16" s="1"/>
  <c r="P16" i="16" s="1"/>
  <c r="Q16" i="16" s="1"/>
  <c r="R16" i="16" s="1"/>
  <c r="S16" i="16" s="1"/>
  <c r="T16" i="16" s="1"/>
  <c r="U16" i="16" s="1"/>
  <c r="V16" i="16" s="1"/>
  <c r="W16" i="16" s="1"/>
  <c r="X16" i="16" s="1"/>
  <c r="Y16" i="16" s="1"/>
  <c r="Z16" i="16" s="1"/>
  <c r="AA16" i="16" s="1"/>
  <c r="AB16" i="16" s="1"/>
  <c r="AC16" i="16" s="1"/>
  <c r="AD16" i="16" s="1"/>
  <c r="AE16" i="16" s="1"/>
  <c r="AF16" i="16" s="1"/>
  <c r="AG16" i="16" s="1"/>
  <c r="AH16" i="16" s="1"/>
  <c r="AI16" i="16" s="1"/>
  <c r="AJ16" i="16" s="1"/>
  <c r="AK16" i="16" s="1"/>
  <c r="AL16" i="16" s="1"/>
  <c r="AM16" i="16" s="1"/>
  <c r="AN16" i="16" s="1"/>
  <c r="AO16" i="16" s="1"/>
  <c r="AP16" i="16" s="1"/>
  <c r="AQ16" i="16" s="1"/>
  <c r="AR16" i="16" s="1"/>
  <c r="AS16" i="16" s="1"/>
  <c r="AT16" i="16" s="1"/>
  <c r="AU16" i="16" s="1"/>
  <c r="AV16" i="16" s="1"/>
  <c r="AW16" i="16" s="1"/>
  <c r="AX16" i="16" s="1"/>
  <c r="AY16" i="16" s="1"/>
  <c r="AZ16" i="16" s="1"/>
  <c r="BA16" i="16" s="1"/>
  <c r="BB16" i="16" s="1"/>
  <c r="BC16" i="16" s="1"/>
  <c r="BD16" i="16" s="1"/>
  <c r="BE16" i="16" s="1"/>
  <c r="BF16" i="16" s="1"/>
  <c r="BG16" i="16" s="1"/>
  <c r="BH16" i="16" s="1"/>
  <c r="BI16" i="16" s="1"/>
  <c r="BJ16" i="16" s="1"/>
  <c r="BK16" i="16" s="1"/>
  <c r="BL16" i="16" s="1"/>
  <c r="BM16" i="16" s="1"/>
  <c r="BN16" i="16" s="1"/>
  <c r="BO16" i="16" s="1"/>
  <c r="BP16" i="16" s="1"/>
  <c r="BQ16" i="16" s="1"/>
  <c r="BR16" i="16" s="1"/>
  <c r="BS16" i="16" s="1"/>
  <c r="BT16" i="16" s="1"/>
  <c r="BU16" i="16" s="1"/>
  <c r="BV16" i="16" s="1"/>
  <c r="BW16" i="16" s="1"/>
  <c r="BX16" i="16" s="1"/>
  <c r="BY16" i="16" s="1"/>
  <c r="BZ16" i="16" s="1"/>
  <c r="CA16" i="16" s="1"/>
  <c r="CB16" i="16" s="1"/>
  <c r="CC16" i="16" s="1"/>
  <c r="CD16" i="16" s="1"/>
  <c r="CE16" i="16" s="1"/>
  <c r="CF16" i="16" s="1"/>
  <c r="CG16" i="16" s="1"/>
  <c r="CH16" i="16" s="1"/>
  <c r="CI16" i="16" s="1"/>
  <c r="CJ16" i="16" s="1"/>
  <c r="CK16" i="16" s="1"/>
  <c r="CL16" i="16" s="1"/>
  <c r="CM16" i="16" s="1"/>
  <c r="I13" i="11"/>
  <c r="I12" i="11"/>
  <c r="I11" i="11"/>
  <c r="AA7" i="27" l="1"/>
  <c r="BE8" i="27"/>
  <c r="BE9" i="27" s="1"/>
  <c r="BE10" i="27" s="1"/>
  <c r="BE11" i="27" s="1"/>
  <c r="BE12" i="27" s="1"/>
  <c r="BE13" i="27" s="1"/>
  <c r="BE14" i="27" s="1"/>
  <c r="BE15" i="27" s="1"/>
  <c r="BE16" i="27" s="1"/>
  <c r="BE17" i="27" s="1"/>
  <c r="BE18" i="27" s="1"/>
  <c r="BE19" i="27" s="1"/>
  <c r="BE20" i="27" s="1"/>
  <c r="BE21" i="27" s="1"/>
  <c r="BE22" i="27" s="1"/>
  <c r="BE23" i="27" s="1"/>
  <c r="BE24" i="27" s="1"/>
  <c r="BE25" i="27" s="1"/>
  <c r="BE26" i="27" s="1"/>
  <c r="BE27" i="27" s="1"/>
  <c r="BE28" i="27" s="1"/>
  <c r="BE29" i="27" s="1"/>
  <c r="BE30" i="27" s="1"/>
  <c r="BE31" i="27" s="1"/>
  <c r="BE32" i="27" s="1"/>
  <c r="BE33" i="27" s="1"/>
  <c r="BE34" i="27" s="1"/>
  <c r="BE35" i="27" s="1"/>
  <c r="BE36" i="27" s="1"/>
  <c r="BE37" i="27" s="1"/>
  <c r="BE38" i="27" s="1"/>
  <c r="BE39" i="27" s="1"/>
  <c r="BE40" i="27" s="1"/>
  <c r="BE41" i="27" s="1"/>
  <c r="BE42" i="27" s="1"/>
  <c r="BE43" i="27" s="1"/>
  <c r="BE44" i="27" s="1"/>
  <c r="BE45" i="27" s="1"/>
  <c r="BE46" i="27" s="1"/>
  <c r="BE47" i="27" s="1"/>
  <c r="BE48" i="27" s="1"/>
  <c r="BE49" i="27" s="1"/>
  <c r="BE50" i="27" s="1"/>
  <c r="BE51" i="27" s="1"/>
  <c r="BE52" i="27" s="1"/>
  <c r="BE53" i="27" s="1"/>
  <c r="BE54" i="27" s="1"/>
  <c r="BE55" i="27" s="1"/>
  <c r="BE56" i="27" s="1"/>
  <c r="BE57" i="27" s="1"/>
  <c r="BE58" i="27" s="1"/>
  <c r="BE59" i="27" s="1"/>
  <c r="BE60" i="27" s="1"/>
  <c r="BE61" i="27" s="1"/>
  <c r="BE62" i="27" s="1"/>
  <c r="BE63" i="27" s="1"/>
  <c r="BE64" i="27" s="1"/>
  <c r="BE65" i="27" s="1"/>
  <c r="BE66" i="27" s="1"/>
  <c r="BE67" i="27" s="1"/>
  <c r="BE68" i="27" s="1"/>
  <c r="BE69" i="27" s="1"/>
  <c r="BE70" i="27" s="1"/>
  <c r="BE71" i="27" s="1"/>
  <c r="BE72" i="27" s="1"/>
  <c r="BE73" i="27" s="1"/>
  <c r="BE74" i="27" s="1"/>
  <c r="BE75" i="27" s="1"/>
  <c r="BE76" i="27" s="1"/>
  <c r="BE77" i="27" s="1"/>
  <c r="BE78" i="27" s="1"/>
  <c r="BE79" i="27" s="1"/>
  <c r="BE80" i="27" s="1"/>
  <c r="BE81" i="27" s="1"/>
  <c r="BE82" i="27" s="1"/>
  <c r="BE83" i="27" s="1"/>
  <c r="BE84" i="27" s="1"/>
  <c r="BE85" i="27" s="1"/>
  <c r="BE86" i="27" s="1"/>
  <c r="BE87" i="27" s="1"/>
  <c r="AU8" i="27"/>
  <c r="AU9" i="27" s="1"/>
  <c r="AU10" i="27" s="1"/>
  <c r="AU11" i="27" s="1"/>
  <c r="AU12" i="27" s="1"/>
  <c r="AU13" i="27" s="1"/>
  <c r="AU14" i="27" s="1"/>
  <c r="AU15" i="27" s="1"/>
  <c r="AU16" i="27" s="1"/>
  <c r="AU17" i="27" s="1"/>
  <c r="AU18" i="27" s="1"/>
  <c r="AU19" i="27" s="1"/>
  <c r="AU20" i="27" s="1"/>
  <c r="AU21" i="27" s="1"/>
  <c r="AU22" i="27" s="1"/>
  <c r="AU23" i="27" s="1"/>
  <c r="AU24" i="27" s="1"/>
  <c r="AU25" i="27" s="1"/>
  <c r="AU26" i="27" s="1"/>
  <c r="AU27" i="27" s="1"/>
  <c r="AU28" i="27" s="1"/>
  <c r="AU29" i="27" s="1"/>
  <c r="AU30" i="27" s="1"/>
  <c r="AI8" i="27"/>
  <c r="AA8" i="27" s="1"/>
  <c r="AD8" i="27" s="1"/>
  <c r="N8" i="16"/>
  <c r="K9" i="27"/>
  <c r="BK13" i="16"/>
  <c r="N12" i="16"/>
  <c r="Q12" i="11"/>
  <c r="X12" i="11" s="1"/>
  <c r="T12" i="11"/>
  <c r="AA12" i="11" s="1"/>
  <c r="U12" i="11"/>
  <c r="AB12" i="11" s="1"/>
  <c r="S12" i="11"/>
  <c r="Z12" i="11" s="1"/>
  <c r="T13" i="11"/>
  <c r="AA13" i="11" s="1"/>
  <c r="U13" i="11"/>
  <c r="AB13" i="11" s="1"/>
  <c r="S13" i="11"/>
  <c r="Z13" i="11" s="1"/>
  <c r="Q13" i="11"/>
  <c r="X13" i="11" s="1"/>
  <c r="Q11" i="11"/>
  <c r="X11" i="11" s="1"/>
  <c r="T11" i="11"/>
  <c r="AA11" i="11" s="1"/>
  <c r="U11" i="11"/>
  <c r="AB11" i="11" s="1"/>
  <c r="S11" i="11"/>
  <c r="Z11" i="11" s="1"/>
  <c r="BI8" i="27" l="1"/>
  <c r="BI9" i="27" s="1"/>
  <c r="BI10" i="27" s="1"/>
  <c r="BI11" i="27" s="1"/>
  <c r="BI12" i="27" s="1"/>
  <c r="BI13" i="27" s="1"/>
  <c r="BI14" i="27" s="1"/>
  <c r="BI15" i="27" s="1"/>
  <c r="BI16" i="27" s="1"/>
  <c r="BI17" i="27" s="1"/>
  <c r="BI18" i="27" s="1"/>
  <c r="BI19" i="27" s="1"/>
  <c r="BI20" i="27" s="1"/>
  <c r="BI21" i="27" s="1"/>
  <c r="BI22" i="27" s="1"/>
  <c r="BI23" i="27" s="1"/>
  <c r="BI24" i="27" s="1"/>
  <c r="BI25" i="27" s="1"/>
  <c r="BI26" i="27" s="1"/>
  <c r="BI27" i="27" s="1"/>
  <c r="BI28" i="27" s="1"/>
  <c r="BI29" i="27" s="1"/>
  <c r="BI30" i="27" s="1"/>
  <c r="BI31" i="27" s="1"/>
  <c r="BI32" i="27" s="1"/>
  <c r="BI33" i="27" s="1"/>
  <c r="BI34" i="27" s="1"/>
  <c r="BI35" i="27" s="1"/>
  <c r="BI36" i="27" s="1"/>
  <c r="BI37" i="27" s="1"/>
  <c r="BI38" i="27" s="1"/>
  <c r="BI39" i="27" s="1"/>
  <c r="BI40" i="27" s="1"/>
  <c r="BI41" i="27" s="1"/>
  <c r="BI42" i="27" s="1"/>
  <c r="BI43" i="27" s="1"/>
  <c r="BI44" i="27" s="1"/>
  <c r="BI45" i="27" s="1"/>
  <c r="BI46" i="27" s="1"/>
  <c r="BI47" i="27" s="1"/>
  <c r="BI48" i="27" s="1"/>
  <c r="BI49" i="27" s="1"/>
  <c r="BI50" i="27" s="1"/>
  <c r="BI51" i="27" s="1"/>
  <c r="BI52" i="27" s="1"/>
  <c r="BI53" i="27" s="1"/>
  <c r="BI54" i="27" s="1"/>
  <c r="BI55" i="27" s="1"/>
  <c r="BI56" i="27" s="1"/>
  <c r="BI57" i="27" s="1"/>
  <c r="BI58" i="27" s="1"/>
  <c r="BI59" i="27" s="1"/>
  <c r="BI60" i="27" s="1"/>
  <c r="BI61" i="27" s="1"/>
  <c r="BI62" i="27" s="1"/>
  <c r="BI63" i="27" s="1"/>
  <c r="BI64" i="27" s="1"/>
  <c r="BI65" i="27" s="1"/>
  <c r="BI66" i="27" s="1"/>
  <c r="BI67" i="27" s="1"/>
  <c r="BI68" i="27" s="1"/>
  <c r="BI69" i="27" s="1"/>
  <c r="BI70" i="27" s="1"/>
  <c r="BI71" i="27" s="1"/>
  <c r="BI72" i="27" s="1"/>
  <c r="BI73" i="27" s="1"/>
  <c r="BI74" i="27" s="1"/>
  <c r="BI75" i="27" s="1"/>
  <c r="BI76" i="27" s="1"/>
  <c r="BI77" i="27" s="1"/>
  <c r="BI78" i="27" s="1"/>
  <c r="BI79" i="27" s="1"/>
  <c r="BI80" i="27" s="1"/>
  <c r="BI81" i="27" s="1"/>
  <c r="BI82" i="27" s="1"/>
  <c r="BI83" i="27" s="1"/>
  <c r="BI84" i="27" s="1"/>
  <c r="BI85" i="27" s="1"/>
  <c r="BI86" i="27" s="1"/>
  <c r="BI87" i="27" s="1"/>
  <c r="AI9" i="27"/>
  <c r="O8" i="16"/>
  <c r="K10" i="27"/>
  <c r="AU31" i="27"/>
  <c r="BL13" i="16"/>
  <c r="O12" i="16"/>
  <c r="AI10" i="27" l="1"/>
  <c r="AI11" i="27" s="1"/>
  <c r="AA9" i="27"/>
  <c r="AD9" i="27" s="1"/>
  <c r="P8" i="16"/>
  <c r="K11" i="27"/>
  <c r="AU32" i="27"/>
  <c r="BM13" i="16"/>
  <c r="P12" i="16"/>
  <c r="AC37" i="11"/>
  <c r="AF37" i="11" s="1"/>
  <c r="AC36" i="11"/>
  <c r="AF36" i="11" s="1"/>
  <c r="AC35" i="11"/>
  <c r="AF35" i="11" s="1"/>
  <c r="L7" i="31" s="1" a="1"/>
  <c r="L7" i="31" s="1"/>
  <c r="AA10" i="27" l="1"/>
  <c r="AD10" i="27" s="1"/>
  <c r="AI12" i="27"/>
  <c r="AA11" i="27"/>
  <c r="AD11" i="27" s="1"/>
  <c r="BL2" i="27" a="1"/>
  <c r="BL2" i="27" s="1"/>
  <c r="Q8" i="16"/>
  <c r="K12" i="27"/>
  <c r="AU33" i="27"/>
  <c r="BN13" i="16"/>
  <c r="Q12" i="16"/>
  <c r="U41" i="11"/>
  <c r="AB41" i="11" s="1"/>
  <c r="T41" i="11"/>
  <c r="AA41" i="11" s="1"/>
  <c r="S41" i="11"/>
  <c r="Z41" i="11" s="1"/>
  <c r="Q41" i="11"/>
  <c r="X41" i="11" s="1"/>
  <c r="R3" i="11" a="1"/>
  <c r="R3" i="11" s="1"/>
  <c r="Q7" i="11"/>
  <c r="X7" i="11" s="1"/>
  <c r="BS73" i="27" l="1"/>
  <c r="BS19" i="27"/>
  <c r="BS54" i="27"/>
  <c r="BS80" i="27"/>
  <c r="BS51" i="27"/>
  <c r="BS75" i="27"/>
  <c r="BS8" i="27"/>
  <c r="BS17" i="27"/>
  <c r="BS20" i="27"/>
  <c r="BS38" i="27"/>
  <c r="BS23" i="27"/>
  <c r="BS18" i="27"/>
  <c r="BS57" i="27"/>
  <c r="BS25" i="27"/>
  <c r="BS85" i="27"/>
  <c r="BS56" i="27"/>
  <c r="BS69" i="27"/>
  <c r="BS50" i="27"/>
  <c r="BS63" i="27"/>
  <c r="BS39" i="27"/>
  <c r="BS24" i="27"/>
  <c r="BS34" i="27"/>
  <c r="BS43" i="27"/>
  <c r="BS74" i="27"/>
  <c r="BS12" i="27"/>
  <c r="BS26" i="27"/>
  <c r="BS16" i="27"/>
  <c r="BS29" i="27"/>
  <c r="BS49" i="27"/>
  <c r="BS11" i="27"/>
  <c r="BS41" i="27"/>
  <c r="BS59" i="27"/>
  <c r="BS48" i="27"/>
  <c r="BS71" i="27"/>
  <c r="BS86" i="27"/>
  <c r="BS31" i="27"/>
  <c r="BS52" i="27"/>
  <c r="BS14" i="27"/>
  <c r="BS77" i="27"/>
  <c r="BS45" i="27"/>
  <c r="BS15" i="27"/>
  <c r="BS36" i="27"/>
  <c r="BS64" i="27"/>
  <c r="BS81" i="27"/>
  <c r="BS40" i="27"/>
  <c r="BS42" i="27"/>
  <c r="BS35" i="27"/>
  <c r="BS65" i="27"/>
  <c r="BS37" i="27"/>
  <c r="BS83" i="27"/>
  <c r="BS27" i="27"/>
  <c r="BS66" i="27"/>
  <c r="BS30" i="27"/>
  <c r="BS33" i="27"/>
  <c r="BS67" i="27"/>
  <c r="BS61" i="27"/>
  <c r="BS13" i="27"/>
  <c r="BS46" i="27"/>
  <c r="BS47" i="27"/>
  <c r="BS28" i="27"/>
  <c r="BS62" i="27"/>
  <c r="BS10" i="27"/>
  <c r="BS60" i="27"/>
  <c r="BS32" i="27"/>
  <c r="BS78" i="27"/>
  <c r="BS82" i="27"/>
  <c r="BS79" i="27"/>
  <c r="BS76" i="27"/>
  <c r="BS87" i="27"/>
  <c r="BS72" i="27"/>
  <c r="BS84" i="27"/>
  <c r="BS70" i="27"/>
  <c r="BS68" i="27"/>
  <c r="BS53" i="27"/>
  <c r="BS22" i="27"/>
  <c r="BS21" i="27"/>
  <c r="BS58" i="27"/>
  <c r="BS9" i="27"/>
  <c r="BS55" i="27"/>
  <c r="BS44" i="27"/>
  <c r="BR81" i="27"/>
  <c r="BP74" i="27"/>
  <c r="BR84" i="27"/>
  <c r="BR66" i="27"/>
  <c r="BP77" i="27"/>
  <c r="BR75" i="27"/>
  <c r="BR78" i="27"/>
  <c r="BP73" i="27"/>
  <c r="BR79" i="27"/>
  <c r="BR70" i="27"/>
  <c r="BP66" i="27"/>
  <c r="BR68" i="27"/>
  <c r="BR80" i="27"/>
  <c r="BP67" i="27"/>
  <c r="BP59" i="27"/>
  <c r="BR62" i="27"/>
  <c r="BP68" i="27"/>
  <c r="BR76" i="27"/>
  <c r="BR73" i="27"/>
  <c r="BP83" i="27"/>
  <c r="BR64" i="27"/>
  <c r="BP76" i="27"/>
  <c r="BP80" i="27"/>
  <c r="BP85" i="27"/>
  <c r="BP84" i="27"/>
  <c r="BP62" i="27"/>
  <c r="BP60" i="27"/>
  <c r="BP58" i="27"/>
  <c r="BP78" i="27"/>
  <c r="BP81" i="27"/>
  <c r="BR77" i="27"/>
  <c r="BP65" i="27"/>
  <c r="BR58" i="27"/>
  <c r="BR60" i="27"/>
  <c r="BP86" i="27"/>
  <c r="BR83" i="27"/>
  <c r="BP87" i="27"/>
  <c r="BR71" i="27"/>
  <c r="BP75" i="27"/>
  <c r="BR82" i="27"/>
  <c r="BR63" i="27"/>
  <c r="BR59" i="27"/>
  <c r="BP69" i="27"/>
  <c r="BR67" i="27"/>
  <c r="BR61" i="27"/>
  <c r="BR85" i="27"/>
  <c r="BR65" i="27"/>
  <c r="BP71" i="27"/>
  <c r="BR86" i="27"/>
  <c r="BP79" i="27"/>
  <c r="BR74" i="27"/>
  <c r="BR87" i="27"/>
  <c r="BP72" i="27"/>
  <c r="BP63" i="27"/>
  <c r="BP64" i="27"/>
  <c r="BR69" i="27"/>
  <c r="BP82" i="27"/>
  <c r="BP61" i="27"/>
  <c r="BR72" i="27"/>
  <c r="BP70" i="27"/>
  <c r="BM7" i="27"/>
  <c r="BL7" i="27"/>
  <c r="BQ7" i="27"/>
  <c r="BP39" i="27"/>
  <c r="BP49" i="27"/>
  <c r="BP17" i="27"/>
  <c r="BR10" i="27"/>
  <c r="BR50" i="27"/>
  <c r="BR34" i="27"/>
  <c r="BR17" i="27"/>
  <c r="BR55" i="27"/>
  <c r="BP26" i="27"/>
  <c r="BP7" i="27"/>
  <c r="BP31" i="27"/>
  <c r="BP32" i="27"/>
  <c r="BP57" i="27"/>
  <c r="BP54" i="27"/>
  <c r="BR40" i="27"/>
  <c r="BR41" i="27"/>
  <c r="BR44" i="27"/>
  <c r="BR26" i="27"/>
  <c r="BR15" i="27"/>
  <c r="BR11" i="27"/>
  <c r="BR47" i="27"/>
  <c r="BR37" i="27"/>
  <c r="BP14" i="27"/>
  <c r="BP46" i="27"/>
  <c r="BP52" i="27"/>
  <c r="BR42" i="27"/>
  <c r="BR46" i="27"/>
  <c r="BR20" i="27"/>
  <c r="BR32" i="27"/>
  <c r="BR14" i="27"/>
  <c r="BR39" i="27"/>
  <c r="BP8" i="27"/>
  <c r="BP53" i="27"/>
  <c r="BP15" i="27"/>
  <c r="BP37" i="27"/>
  <c r="BP13" i="27"/>
  <c r="BP23" i="27"/>
  <c r="BP27" i="27"/>
  <c r="BP33" i="27"/>
  <c r="BR30" i="27"/>
  <c r="BR24" i="27"/>
  <c r="BR53" i="27"/>
  <c r="BR16" i="27"/>
  <c r="BP24" i="27"/>
  <c r="BP9" i="27"/>
  <c r="BR25" i="27"/>
  <c r="BP38" i="27"/>
  <c r="BP18" i="27"/>
  <c r="BP48" i="27"/>
  <c r="BP45" i="27"/>
  <c r="BP20" i="27"/>
  <c r="BP10" i="27"/>
  <c r="BP44" i="27"/>
  <c r="BP42" i="27"/>
  <c r="BR22" i="27"/>
  <c r="BR21" i="27"/>
  <c r="BR27" i="27"/>
  <c r="BR35" i="27"/>
  <c r="BP35" i="27"/>
  <c r="BP29" i="27"/>
  <c r="BP51" i="27"/>
  <c r="BP16" i="27"/>
  <c r="BP47" i="27"/>
  <c r="BP28" i="27"/>
  <c r="BP43" i="27"/>
  <c r="BR45" i="27"/>
  <c r="BR52" i="27"/>
  <c r="BR49" i="27"/>
  <c r="BR23" i="27"/>
  <c r="BR28" i="27"/>
  <c r="BR38" i="27"/>
  <c r="BR48" i="27"/>
  <c r="BR29" i="27"/>
  <c r="BR8" i="27"/>
  <c r="BP36" i="27"/>
  <c r="BP40" i="27"/>
  <c r="BP30" i="27"/>
  <c r="BP21" i="27"/>
  <c r="BP19" i="27"/>
  <c r="BR57" i="27"/>
  <c r="BR18" i="27"/>
  <c r="BP11" i="27"/>
  <c r="BP22" i="27"/>
  <c r="BP41" i="27"/>
  <c r="BP56" i="27"/>
  <c r="BP25" i="27"/>
  <c r="BP55" i="27"/>
  <c r="BR54" i="27"/>
  <c r="BR13" i="27"/>
  <c r="BP34" i="27"/>
  <c r="BP50" i="27"/>
  <c r="BR12" i="27"/>
  <c r="BR36" i="27"/>
  <c r="BR33" i="27"/>
  <c r="BR56" i="27"/>
  <c r="BR19" i="27"/>
  <c r="BR9" i="27"/>
  <c r="BP12" i="27"/>
  <c r="BR31" i="27"/>
  <c r="BR43" i="27"/>
  <c r="BR51" i="27"/>
  <c r="R8" i="16"/>
  <c r="K13" i="27"/>
  <c r="AI13" i="27"/>
  <c r="AA12" i="27"/>
  <c r="AD12" i="27" s="1"/>
  <c r="AU34" i="27"/>
  <c r="BO13" i="16"/>
  <c r="R12" i="16"/>
  <c r="R49" i="11" a="1"/>
  <c r="R49" i="11" s="1"/>
  <c r="R48" i="11" a="1"/>
  <c r="R48" i="11" s="1"/>
  <c r="R47" i="11" a="1"/>
  <c r="R47" i="11" s="1"/>
  <c r="R46" i="11" a="1"/>
  <c r="R46" i="11" s="1"/>
  <c r="R45" i="11" a="1"/>
  <c r="R45" i="11" s="1"/>
  <c r="R44" i="11" a="1"/>
  <c r="R44" i="11" s="1"/>
  <c r="R43" i="11" a="1"/>
  <c r="R43" i="11" s="1"/>
  <c r="R42" i="11" a="1"/>
  <c r="R42" i="11" s="1"/>
  <c r="R41" i="11" a="1"/>
  <c r="R41" i="11" s="1"/>
  <c r="R13" i="11" a="1"/>
  <c r="R13" i="11" s="1"/>
  <c r="R12" i="11" a="1"/>
  <c r="R12" i="11" s="1"/>
  <c r="R11" i="11" a="1"/>
  <c r="R11" i="11" s="1"/>
  <c r="R9" i="11" a="1"/>
  <c r="R9" i="11" s="1"/>
  <c r="R7" i="11" a="1"/>
  <c r="R7" i="11" s="1"/>
  <c r="R6" i="11" a="1"/>
  <c r="R6" i="11" s="1"/>
  <c r="R4" i="11" a="1"/>
  <c r="R4" i="11" s="1"/>
  <c r="U37" i="11"/>
  <c r="AB37" i="11" s="1"/>
  <c r="U36" i="11"/>
  <c r="AB36" i="11" s="1"/>
  <c r="U35" i="11"/>
  <c r="AB35" i="11" s="1"/>
  <c r="U34" i="11"/>
  <c r="AB34" i="11" s="1"/>
  <c r="U33" i="11"/>
  <c r="AB33" i="11" s="1"/>
  <c r="U32" i="11"/>
  <c r="AB32" i="11" s="1"/>
  <c r="U28" i="11"/>
  <c r="AB28" i="11" s="1"/>
  <c r="U27" i="11"/>
  <c r="AB27" i="11" s="1"/>
  <c r="U26" i="11"/>
  <c r="AB26" i="11" s="1"/>
  <c r="U42" i="11"/>
  <c r="AB42" i="11" s="1"/>
  <c r="U20" i="11"/>
  <c r="AB20" i="11" s="1"/>
  <c r="T37" i="11"/>
  <c r="AA37" i="11" s="1"/>
  <c r="T36" i="11"/>
  <c r="AA36" i="11" s="1"/>
  <c r="T35" i="11"/>
  <c r="AA35" i="11" s="1"/>
  <c r="T34" i="11"/>
  <c r="AA34" i="11" s="1"/>
  <c r="T33" i="11"/>
  <c r="AA33" i="11" s="1"/>
  <c r="T32" i="11"/>
  <c r="AA32" i="11" s="1"/>
  <c r="T28" i="11"/>
  <c r="AA28" i="11" s="1"/>
  <c r="T27" i="11"/>
  <c r="AA27" i="11" s="1"/>
  <c r="T26" i="11"/>
  <c r="AA26" i="11" s="1"/>
  <c r="T42" i="11"/>
  <c r="AA42" i="11" s="1"/>
  <c r="T6" i="11"/>
  <c r="AA6" i="11" s="1"/>
  <c r="S42" i="11"/>
  <c r="Z42" i="11" s="1"/>
  <c r="S37" i="11"/>
  <c r="Z37" i="11" s="1"/>
  <c r="S36" i="11"/>
  <c r="Z36" i="11" s="1"/>
  <c r="S35" i="11"/>
  <c r="Z35" i="11" s="1"/>
  <c r="S34" i="11"/>
  <c r="Z34" i="11" s="1"/>
  <c r="S33" i="11"/>
  <c r="Z33" i="11" s="1"/>
  <c r="S32" i="11"/>
  <c r="Z32" i="11" s="1"/>
  <c r="S28" i="11"/>
  <c r="Z28" i="11" s="1"/>
  <c r="S27" i="11"/>
  <c r="Z27" i="11" s="1"/>
  <c r="S26" i="11"/>
  <c r="Z26" i="11" s="1"/>
  <c r="X48" i="11"/>
  <c r="Q42" i="11"/>
  <c r="X42" i="11" s="1"/>
  <c r="Q37" i="11"/>
  <c r="X37" i="11" s="1"/>
  <c r="Q36" i="11"/>
  <c r="X36" i="11" s="1"/>
  <c r="Q35" i="11"/>
  <c r="X35" i="11" s="1"/>
  <c r="Q34" i="11"/>
  <c r="X34" i="11" s="1"/>
  <c r="Q33" i="11"/>
  <c r="X33" i="11" s="1"/>
  <c r="Q32" i="11"/>
  <c r="X32" i="11" s="1"/>
  <c r="Q29" i="11"/>
  <c r="X29" i="11" s="1"/>
  <c r="Q28" i="11"/>
  <c r="X28" i="11" s="1"/>
  <c r="Q27" i="11"/>
  <c r="X27" i="11" s="1"/>
  <c r="Q26" i="11"/>
  <c r="X26" i="11" s="1"/>
  <c r="R5" i="11" a="1"/>
  <c r="R5" i="11" s="1"/>
  <c r="I10" i="11"/>
  <c r="S30" i="11"/>
  <c r="Z30" i="11" s="1"/>
  <c r="Q4" i="11"/>
  <c r="Q3" i="11"/>
  <c r="X3" i="11" s="1"/>
  <c r="I14" i="11"/>
  <c r="AE14" i="11" s="1"/>
  <c r="I15" i="11"/>
  <c r="AE15" i="11" s="1"/>
  <c r="I16" i="11"/>
  <c r="AE16" i="11" s="1"/>
  <c r="I8" i="11"/>
  <c r="S3" i="11"/>
  <c r="Z3" i="11" s="1"/>
  <c r="U3" i="11"/>
  <c r="AB3" i="11" s="1"/>
  <c r="T3" i="11"/>
  <c r="AA3" i="11" s="1"/>
  <c r="I17" i="11"/>
  <c r="AE17" i="11" s="1"/>
  <c r="I18" i="11"/>
  <c r="AE18" i="11" s="1"/>
  <c r="I19" i="11"/>
  <c r="AE19" i="11" s="1"/>
  <c r="I20" i="11"/>
  <c r="I21" i="11"/>
  <c r="R21" i="11" s="1" a="1"/>
  <c r="R21" i="11" s="1"/>
  <c r="I22" i="11"/>
  <c r="R22" i="11" s="1" a="1"/>
  <c r="R22" i="11" s="1"/>
  <c r="I23" i="11"/>
  <c r="I24" i="11"/>
  <c r="I25" i="11"/>
  <c r="I26" i="11"/>
  <c r="I27" i="11"/>
  <c r="I28" i="11"/>
  <c r="I29" i="11"/>
  <c r="I30" i="11"/>
  <c r="I31" i="11"/>
  <c r="I32" i="11"/>
  <c r="I33" i="11"/>
  <c r="R33" i="11" s="1" a="1"/>
  <c r="R33" i="11" s="1"/>
  <c r="I34" i="11"/>
  <c r="I35" i="11"/>
  <c r="I36" i="11"/>
  <c r="I37" i="11"/>
  <c r="I38" i="11"/>
  <c r="AF16" i="11" l="1"/>
  <c r="AF19" i="11"/>
  <c r="AF15" i="11"/>
  <c r="AF18" i="11"/>
  <c r="AF14" i="11"/>
  <c r="L8" i="31" s="1" a="1"/>
  <c r="L8" i="31" s="1"/>
  <c r="AF17" i="11"/>
  <c r="CB2" i="27" s="1" a="1"/>
  <c r="CB2" i="27" s="1"/>
  <c r="L9" i="31" a="1"/>
  <c r="L9" i="31" s="1"/>
  <c r="BT2" i="27" a="1"/>
  <c r="BT2" i="27" s="1"/>
  <c r="BM8" i="27"/>
  <c r="BM9" i="27" s="1"/>
  <c r="BM10" i="27" s="1"/>
  <c r="BM11" i="27" s="1"/>
  <c r="BM12" i="27" s="1"/>
  <c r="BM13" i="27" s="1"/>
  <c r="BM14" i="27" s="1"/>
  <c r="BM15" i="27" s="1"/>
  <c r="BM16" i="27" s="1"/>
  <c r="BM17" i="27" s="1"/>
  <c r="BM18" i="27" s="1"/>
  <c r="BM19" i="27" s="1"/>
  <c r="BM20" i="27" s="1"/>
  <c r="BM21" i="27" s="1"/>
  <c r="BM22" i="27" s="1"/>
  <c r="BM23" i="27" s="1"/>
  <c r="BM24" i="27" s="1"/>
  <c r="BM25" i="27" s="1"/>
  <c r="BM26" i="27" s="1"/>
  <c r="BM27" i="27" s="1"/>
  <c r="BM28" i="27" s="1"/>
  <c r="BM29" i="27" s="1"/>
  <c r="BM30" i="27" s="1"/>
  <c r="BM31" i="27" s="1"/>
  <c r="BM32" i="27" s="1"/>
  <c r="BM33" i="27" s="1"/>
  <c r="BM34" i="27" s="1"/>
  <c r="BM35" i="27" s="1"/>
  <c r="BM36" i="27" s="1"/>
  <c r="BM37" i="27" s="1"/>
  <c r="BM38" i="27" s="1"/>
  <c r="BM39" i="27" s="1"/>
  <c r="BM40" i="27" s="1"/>
  <c r="BM41" i="27" s="1"/>
  <c r="BM42" i="27" s="1"/>
  <c r="BM43" i="27" s="1"/>
  <c r="BM44" i="27" s="1"/>
  <c r="BM45" i="27" s="1"/>
  <c r="BM46" i="27" s="1"/>
  <c r="BM47" i="27" s="1"/>
  <c r="BM48" i="27" s="1"/>
  <c r="BM49" i="27" s="1"/>
  <c r="BM50" i="27" s="1"/>
  <c r="BM51" i="27" s="1"/>
  <c r="BM52" i="27" s="1"/>
  <c r="BM53" i="27" s="1"/>
  <c r="BM54" i="27" s="1"/>
  <c r="BM55" i="27" s="1"/>
  <c r="BM56" i="27" s="1"/>
  <c r="BM57" i="27" s="1"/>
  <c r="BM58" i="27" s="1"/>
  <c r="BM59" i="27" s="1"/>
  <c r="BM60" i="27" s="1"/>
  <c r="BM61" i="27" s="1"/>
  <c r="BM62" i="27" s="1"/>
  <c r="BM63" i="27" s="1"/>
  <c r="BM64" i="27" s="1"/>
  <c r="BM65" i="27" s="1"/>
  <c r="BM66" i="27" s="1"/>
  <c r="BM67" i="27" s="1"/>
  <c r="BM68" i="27" s="1"/>
  <c r="BM69" i="27" s="1"/>
  <c r="BM70" i="27" s="1"/>
  <c r="BM71" i="27" s="1"/>
  <c r="BM72" i="27" s="1"/>
  <c r="BM73" i="27" s="1"/>
  <c r="BM74" i="27" s="1"/>
  <c r="BM75" i="27" s="1"/>
  <c r="BM76" i="27" s="1"/>
  <c r="BM77" i="27" s="1"/>
  <c r="BM78" i="27" s="1"/>
  <c r="BM79" i="27" s="1"/>
  <c r="BM80" i="27" s="1"/>
  <c r="BM81" i="27" s="1"/>
  <c r="BM82" i="27" s="1"/>
  <c r="BM83" i="27" s="1"/>
  <c r="BM84" i="27" s="1"/>
  <c r="BM85" i="27" s="1"/>
  <c r="BM86" i="27" s="1"/>
  <c r="BM87" i="27" s="1"/>
  <c r="S8" i="16"/>
  <c r="K14" i="27"/>
  <c r="X4" i="11"/>
  <c r="Q10" i="11"/>
  <c r="AI14" i="27"/>
  <c r="AA13" i="27"/>
  <c r="AD13" i="27" s="1"/>
  <c r="AU35" i="27"/>
  <c r="BP13" i="16"/>
  <c r="S12" i="16"/>
  <c r="R17" i="11" a="1"/>
  <c r="R17" i="11" s="1"/>
  <c r="R34" i="11" a="1"/>
  <c r="R34" i="11" s="1"/>
  <c r="R29" i="11" a="1"/>
  <c r="R29" i="11" s="1"/>
  <c r="R24" i="11" a="1"/>
  <c r="R24" i="11" s="1"/>
  <c r="R25" i="11" a="1"/>
  <c r="R25" i="11" s="1"/>
  <c r="R37" i="11" a="1"/>
  <c r="R37" i="11" s="1"/>
  <c r="R23" i="11" a="1"/>
  <c r="R23" i="11" s="1"/>
  <c r="R36" i="11" a="1"/>
  <c r="R36" i="11" s="1"/>
  <c r="R14" i="11" a="1"/>
  <c r="R14" i="11" s="1"/>
  <c r="R26" i="11" a="1"/>
  <c r="R26" i="11" s="1"/>
  <c r="R38" i="11" a="1"/>
  <c r="R38" i="11" s="1"/>
  <c r="R8" i="11" a="1"/>
  <c r="R8" i="11" s="1"/>
  <c r="R35" i="11" a="1"/>
  <c r="R35" i="11" s="1"/>
  <c r="R15" i="11" a="1"/>
  <c r="R15" i="11" s="1"/>
  <c r="R27" i="11" a="1"/>
  <c r="R27" i="11" s="1"/>
  <c r="R39" i="11" a="1"/>
  <c r="R39" i="11" s="1"/>
  <c r="R16" i="11" a="1"/>
  <c r="R16" i="11" s="1"/>
  <c r="R28" i="11" a="1"/>
  <c r="R28" i="11" s="1"/>
  <c r="R40" i="11" a="1"/>
  <c r="R40" i="11" s="1"/>
  <c r="R18" i="11" a="1"/>
  <c r="R18" i="11" s="1"/>
  <c r="R19" i="11" a="1"/>
  <c r="R19" i="11" s="1"/>
  <c r="R31" i="11" a="1"/>
  <c r="R31" i="11" s="1"/>
  <c r="R30" i="11" a="1"/>
  <c r="R30" i="11" s="1"/>
  <c r="R20" i="11" a="1"/>
  <c r="R20" i="11" s="1"/>
  <c r="R32" i="11" a="1"/>
  <c r="R32" i="11" s="1"/>
  <c r="S38" i="11"/>
  <c r="Z38" i="11" s="1"/>
  <c r="Y49" i="11"/>
  <c r="Y48" i="11"/>
  <c r="AJ48" i="11" s="1"/>
  <c r="AK48" i="11" s="1"/>
  <c r="AL48" i="11" s="1"/>
  <c r="AM48" i="11" s="1"/>
  <c r="AN48" i="11" s="1"/>
  <c r="AO48" i="11" s="1"/>
  <c r="AP48" i="11" s="1"/>
  <c r="AQ48" i="11" s="1"/>
  <c r="AR48" i="11" s="1"/>
  <c r="AS48" i="11" s="1"/>
  <c r="AT48" i="11" s="1"/>
  <c r="AU48" i="11" s="1"/>
  <c r="M10" i="11"/>
  <c r="T23" i="11"/>
  <c r="AA23" i="11" s="1"/>
  <c r="S23" i="11"/>
  <c r="Z23" i="11" s="1"/>
  <c r="Q23" i="11"/>
  <c r="X23" i="11" s="1"/>
  <c r="U23" i="11"/>
  <c r="AB23" i="11" s="1"/>
  <c r="Q24" i="11"/>
  <c r="X24" i="11" s="1"/>
  <c r="S24" i="11"/>
  <c r="Z24" i="11" s="1"/>
  <c r="T24" i="11"/>
  <c r="AA24" i="11" s="1"/>
  <c r="U24" i="11"/>
  <c r="AB24" i="11" s="1"/>
  <c r="T20" i="11"/>
  <c r="AA20" i="11" s="1"/>
  <c r="Q20" i="11"/>
  <c r="X20" i="11" s="1"/>
  <c r="Y9" i="11"/>
  <c r="S22" i="11"/>
  <c r="Z22" i="11" s="1"/>
  <c r="U5" i="11"/>
  <c r="AB5" i="11" s="1"/>
  <c r="Q8" i="11"/>
  <c r="X8" i="11" s="1"/>
  <c r="T8" i="11"/>
  <c r="AA8" i="11" s="1"/>
  <c r="Q21" i="11"/>
  <c r="X21" i="11" s="1"/>
  <c r="Q22" i="11"/>
  <c r="X22" i="11" s="1"/>
  <c r="Z5" i="11"/>
  <c r="X5" i="11"/>
  <c r="S8" i="11"/>
  <c r="Z8" i="11" s="1"/>
  <c r="U21" i="11"/>
  <c r="AB21" i="11" s="1"/>
  <c r="S20" i="11"/>
  <c r="Z20" i="11" s="1"/>
  <c r="U22" i="11"/>
  <c r="AB22" i="11" s="1"/>
  <c r="S21" i="11"/>
  <c r="Z21" i="11" s="1"/>
  <c r="Q38" i="11"/>
  <c r="X38" i="11" s="1"/>
  <c r="U38" i="11"/>
  <c r="AB38" i="11" s="1"/>
  <c r="T38" i="11"/>
  <c r="AA38" i="11" s="1"/>
  <c r="T21" i="11"/>
  <c r="AA21" i="11" s="1"/>
  <c r="T22" i="11"/>
  <c r="AA22" i="11" s="1"/>
  <c r="CG7" i="27" l="1"/>
  <c r="CF7" i="27"/>
  <c r="CA46" i="27"/>
  <c r="CA10" i="27"/>
  <c r="CA61" i="27"/>
  <c r="CA59" i="27"/>
  <c r="CA77" i="27"/>
  <c r="CA19" i="27"/>
  <c r="CA38" i="27"/>
  <c r="BX60" i="27"/>
  <c r="BX80" i="27"/>
  <c r="BZ69" i="27"/>
  <c r="BZ66" i="27"/>
  <c r="BZ60" i="27"/>
  <c r="BY7" i="27"/>
  <c r="BZ8" i="27"/>
  <c r="BZ48" i="27"/>
  <c r="BZ53" i="27"/>
  <c r="BZ14" i="27"/>
  <c r="BX51" i="27"/>
  <c r="BX31" i="27"/>
  <c r="BX57" i="27"/>
  <c r="BX26" i="27"/>
  <c r="CA22" i="27"/>
  <c r="BZ77" i="27"/>
  <c r="BU7" i="27"/>
  <c r="BU8" i="27" s="1"/>
  <c r="BU9" i="27" s="1"/>
  <c r="BU10" i="27" s="1"/>
  <c r="BU11" i="27" s="1"/>
  <c r="BU12" i="27" s="1"/>
  <c r="BU13" i="27" s="1"/>
  <c r="BU14" i="27" s="1"/>
  <c r="BU15" i="27" s="1"/>
  <c r="BU16" i="27" s="1"/>
  <c r="BU17" i="27" s="1"/>
  <c r="BU18" i="27" s="1"/>
  <c r="BU19" i="27" s="1"/>
  <c r="BU20" i="27" s="1"/>
  <c r="BU21" i="27" s="1"/>
  <c r="BU22" i="27" s="1"/>
  <c r="BU23" i="27" s="1"/>
  <c r="BU24" i="27" s="1"/>
  <c r="BU25" i="27" s="1"/>
  <c r="BU26" i="27" s="1"/>
  <c r="BU27" i="27" s="1"/>
  <c r="BU28" i="27" s="1"/>
  <c r="BU29" i="27" s="1"/>
  <c r="BU30" i="27" s="1"/>
  <c r="BU31" i="27" s="1"/>
  <c r="BU32" i="27" s="1"/>
  <c r="BU33" i="27" s="1"/>
  <c r="BU34" i="27" s="1"/>
  <c r="BU35" i="27" s="1"/>
  <c r="BU36" i="27" s="1"/>
  <c r="BU37" i="27" s="1"/>
  <c r="BU38" i="27" s="1"/>
  <c r="BU39" i="27" s="1"/>
  <c r="BU40" i="27" s="1"/>
  <c r="BU41" i="27" s="1"/>
  <c r="BU42" i="27" s="1"/>
  <c r="BU43" i="27" s="1"/>
  <c r="BU44" i="27" s="1"/>
  <c r="BU45" i="27" s="1"/>
  <c r="BU46" i="27" s="1"/>
  <c r="BU47" i="27" s="1"/>
  <c r="BU48" i="27" s="1"/>
  <c r="BU49" i="27" s="1"/>
  <c r="BU50" i="27" s="1"/>
  <c r="BU51" i="27" s="1"/>
  <c r="BU52" i="27" s="1"/>
  <c r="BU53" i="27" s="1"/>
  <c r="BU54" i="27" s="1"/>
  <c r="BU55" i="27" s="1"/>
  <c r="BU56" i="27" s="1"/>
  <c r="BU57" i="27" s="1"/>
  <c r="BU58" i="27" s="1"/>
  <c r="BU59" i="27" s="1"/>
  <c r="BU60" i="27" s="1"/>
  <c r="BU61" i="27" s="1"/>
  <c r="BU62" i="27" s="1"/>
  <c r="BU63" i="27" s="1"/>
  <c r="BU64" i="27" s="1"/>
  <c r="BU65" i="27" s="1"/>
  <c r="BU66" i="27" s="1"/>
  <c r="BU67" i="27" s="1"/>
  <c r="BU68" i="27" s="1"/>
  <c r="BU69" i="27" s="1"/>
  <c r="BU70" i="27" s="1"/>
  <c r="BU71" i="27" s="1"/>
  <c r="BU72" i="27" s="1"/>
  <c r="BU73" i="27" s="1"/>
  <c r="BU74" i="27" s="1"/>
  <c r="BU75" i="27" s="1"/>
  <c r="BU76" i="27" s="1"/>
  <c r="BU77" i="27" s="1"/>
  <c r="BU78" i="27" s="1"/>
  <c r="BU79" i="27" s="1"/>
  <c r="BU80" i="27" s="1"/>
  <c r="BU81" i="27" s="1"/>
  <c r="BU82" i="27" s="1"/>
  <c r="BU83" i="27" s="1"/>
  <c r="BU84" i="27" s="1"/>
  <c r="BU85" i="27" s="1"/>
  <c r="BU86" i="27" s="1"/>
  <c r="BU87" i="27" s="1"/>
  <c r="BZ35" i="27"/>
  <c r="BX37" i="27"/>
  <c r="BX58" i="27"/>
  <c r="BZ44" i="27"/>
  <c r="BZ32" i="27"/>
  <c r="BX41" i="27"/>
  <c r="BZ59" i="27"/>
  <c r="CA82" i="27"/>
  <c r="CA11" i="27"/>
  <c r="CA72" i="27"/>
  <c r="CA44" i="27"/>
  <c r="CA20" i="27"/>
  <c r="CA56" i="27"/>
  <c r="CA83" i="27"/>
  <c r="BX62" i="27"/>
  <c r="BZ71" i="27"/>
  <c r="BZ79" i="27"/>
  <c r="BX84" i="27"/>
  <c r="BZ58" i="27"/>
  <c r="BZ27" i="27"/>
  <c r="BX14" i="27"/>
  <c r="BX40" i="27"/>
  <c r="BZ15" i="27"/>
  <c r="BX12" i="27"/>
  <c r="BX7" i="27"/>
  <c r="BX43" i="27"/>
  <c r="BX47" i="27"/>
  <c r="BZ50" i="27"/>
  <c r="BX11" i="27"/>
  <c r="BX36" i="27"/>
  <c r="BX48" i="27"/>
  <c r="CA57" i="27"/>
  <c r="CA81" i="27"/>
  <c r="BX63" i="27"/>
  <c r="BZ63" i="27"/>
  <c r="BZ57" i="27"/>
  <c r="BZ34" i="27"/>
  <c r="BZ13" i="27"/>
  <c r="BX29" i="27"/>
  <c r="BX65" i="27"/>
  <c r="BZ55" i="27"/>
  <c r="BX45" i="27"/>
  <c r="BX83" i="27"/>
  <c r="BZ28" i="27"/>
  <c r="CA8" i="27"/>
  <c r="CA50" i="27"/>
  <c r="CA62" i="27"/>
  <c r="CA23" i="27"/>
  <c r="CA16" i="27"/>
  <c r="CA27" i="27"/>
  <c r="CA48" i="27"/>
  <c r="BZ87" i="27"/>
  <c r="BZ84" i="27"/>
  <c r="BX81" i="27"/>
  <c r="BX78" i="27"/>
  <c r="BZ62" i="27"/>
  <c r="BZ29" i="27"/>
  <c r="BZ23" i="27"/>
  <c r="BZ25" i="27"/>
  <c r="BZ12" i="27"/>
  <c r="BX30" i="27"/>
  <c r="BZ42" i="27"/>
  <c r="BX8" i="27"/>
  <c r="BX46" i="27"/>
  <c r="CA51" i="27"/>
  <c r="CA25" i="27"/>
  <c r="CA80" i="27"/>
  <c r="CA30" i="27"/>
  <c r="CA64" i="27"/>
  <c r="CA42" i="27"/>
  <c r="CA17" i="27"/>
  <c r="BX79" i="27"/>
  <c r="BZ65" i="27"/>
  <c r="BX75" i="27"/>
  <c r="BZ64" i="27"/>
  <c r="BX67" i="27"/>
  <c r="BZ30" i="27"/>
  <c r="BX24" i="27"/>
  <c r="BZ41" i="27"/>
  <c r="BZ43" i="27"/>
  <c r="BX20" i="27"/>
  <c r="CA31" i="27"/>
  <c r="CA60" i="27"/>
  <c r="CA14" i="27"/>
  <c r="CA67" i="27"/>
  <c r="BZ76" i="27"/>
  <c r="BX73" i="27"/>
  <c r="BX59" i="27"/>
  <c r="BZ22" i="27"/>
  <c r="BZ9" i="27"/>
  <c r="BX56" i="27"/>
  <c r="BZ21" i="27"/>
  <c r="BX22" i="27"/>
  <c r="BX27" i="27"/>
  <c r="CA45" i="27"/>
  <c r="CA49" i="27"/>
  <c r="CA55" i="27"/>
  <c r="CA26" i="27"/>
  <c r="CA53" i="27"/>
  <c r="BZ61" i="27"/>
  <c r="BZ82" i="27"/>
  <c r="BZ68" i="27"/>
  <c r="BZ80" i="27"/>
  <c r="BZ18" i="27"/>
  <c r="BZ45" i="27"/>
  <c r="BX9" i="27"/>
  <c r="BX32" i="27"/>
  <c r="CA40" i="27"/>
  <c r="CA78" i="27"/>
  <c r="CA63" i="27"/>
  <c r="CA47" i="27"/>
  <c r="CA37" i="27"/>
  <c r="CA87" i="27"/>
  <c r="BZ85" i="27"/>
  <c r="BX72" i="27"/>
  <c r="BZ81" i="27"/>
  <c r="BZ54" i="27"/>
  <c r="BX42" i="27"/>
  <c r="BZ37" i="27"/>
  <c r="BX33" i="27"/>
  <c r="CA13" i="27"/>
  <c r="CA73" i="27"/>
  <c r="CA79" i="27"/>
  <c r="CA75" i="27"/>
  <c r="CA24" i="27"/>
  <c r="BX74" i="27"/>
  <c r="BX70" i="27"/>
  <c r="BZ20" i="27"/>
  <c r="BZ51" i="27"/>
  <c r="CA71" i="27"/>
  <c r="CA65" i="27"/>
  <c r="CA43" i="27"/>
  <c r="CA66" i="27"/>
  <c r="CA41" i="27"/>
  <c r="CA34" i="27"/>
  <c r="CA32" i="27"/>
  <c r="BX69" i="27"/>
  <c r="BX61" i="27"/>
  <c r="BX87" i="27"/>
  <c r="BZ72" i="27"/>
  <c r="BX76" i="27"/>
  <c r="BZ49" i="27"/>
  <c r="BZ38" i="27"/>
  <c r="BZ11" i="27"/>
  <c r="BX34" i="27"/>
  <c r="BZ40" i="27"/>
  <c r="BX13" i="27"/>
  <c r="BX52" i="27"/>
  <c r="BX39" i="27"/>
  <c r="BX55" i="27"/>
  <c r="BT7" i="27"/>
  <c r="BZ39" i="27"/>
  <c r="BX17" i="27"/>
  <c r="BX50" i="27"/>
  <c r="BX18" i="27"/>
  <c r="BX28" i="27"/>
  <c r="CA84" i="27"/>
  <c r="CA21" i="27"/>
  <c r="CA15" i="27"/>
  <c r="CA86" i="27"/>
  <c r="BX85" i="27"/>
  <c r="BZ78" i="27"/>
  <c r="BZ31" i="27"/>
  <c r="BX35" i="27"/>
  <c r="BX16" i="27"/>
  <c r="BX54" i="27"/>
  <c r="CA52" i="27"/>
  <c r="CA12" i="27"/>
  <c r="CA68" i="27"/>
  <c r="CA54" i="27"/>
  <c r="BZ83" i="27"/>
  <c r="BZ86" i="27"/>
  <c r="BX82" i="27"/>
  <c r="BZ17" i="27"/>
  <c r="BX44" i="27"/>
  <c r="BZ10" i="27"/>
  <c r="BX21" i="27"/>
  <c r="BX86" i="27"/>
  <c r="CA29" i="27"/>
  <c r="CA70" i="27"/>
  <c r="CA33" i="27"/>
  <c r="CA85" i="27"/>
  <c r="CA58" i="27"/>
  <c r="CA39" i="27"/>
  <c r="CA35" i="27"/>
  <c r="BZ74" i="27"/>
  <c r="BX77" i="27"/>
  <c r="BX64" i="27"/>
  <c r="BX66" i="27"/>
  <c r="BX71" i="27"/>
  <c r="BZ33" i="27"/>
  <c r="BZ52" i="27"/>
  <c r="BX23" i="27"/>
  <c r="CA9" i="27"/>
  <c r="CA69" i="27"/>
  <c r="CA74" i="27"/>
  <c r="BX68" i="27"/>
  <c r="BZ70" i="27"/>
  <c r="BZ67" i="27"/>
  <c r="BZ47" i="27"/>
  <c r="BX38" i="27"/>
  <c r="BZ19" i="27"/>
  <c r="BZ24" i="27"/>
  <c r="BX49" i="27"/>
  <c r="CA76" i="27"/>
  <c r="CA28" i="27"/>
  <c r="CA36" i="27"/>
  <c r="BZ75" i="27"/>
  <c r="BZ73" i="27"/>
  <c r="BZ46" i="27"/>
  <c r="BZ16" i="27"/>
  <c r="BZ26" i="27"/>
  <c r="BX15" i="27"/>
  <c r="CA18" i="27"/>
  <c r="BX25" i="27"/>
  <c r="BX19" i="27"/>
  <c r="BX10" i="27"/>
  <c r="BZ56" i="27"/>
  <c r="BZ36" i="27"/>
  <c r="BX53" i="27"/>
  <c r="BQ8" i="27"/>
  <c r="BQ9" i="27" s="1"/>
  <c r="CI10" i="27"/>
  <c r="CI42" i="27"/>
  <c r="CI15" i="27"/>
  <c r="CI11" i="27"/>
  <c r="CI38" i="27"/>
  <c r="CI24" i="27"/>
  <c r="CI46" i="27"/>
  <c r="CI25" i="27"/>
  <c r="CI16" i="27"/>
  <c r="CI61" i="27"/>
  <c r="CI71" i="27"/>
  <c r="CI83" i="27"/>
  <c r="CI75" i="27"/>
  <c r="CI59" i="27"/>
  <c r="CI53" i="27"/>
  <c r="CI33" i="27"/>
  <c r="CI62" i="27"/>
  <c r="CI82" i="27"/>
  <c r="CI66" i="27"/>
  <c r="CI81" i="27"/>
  <c r="CI39" i="27"/>
  <c r="CI47" i="27"/>
  <c r="CI14" i="27"/>
  <c r="CI80" i="27"/>
  <c r="CI67" i="27"/>
  <c r="CI21" i="27"/>
  <c r="CI31" i="27"/>
  <c r="CI70" i="27"/>
  <c r="CI69" i="27"/>
  <c r="CI23" i="27"/>
  <c r="CI50" i="27"/>
  <c r="CI51" i="27"/>
  <c r="CI74" i="27"/>
  <c r="CI78" i="27"/>
  <c r="CI19" i="27"/>
  <c r="CI20" i="27"/>
  <c r="CI13" i="27"/>
  <c r="CI28" i="27"/>
  <c r="CI40" i="27"/>
  <c r="CI30" i="27"/>
  <c r="CI63" i="27"/>
  <c r="CI22" i="27"/>
  <c r="CI52" i="27"/>
  <c r="CI86" i="27"/>
  <c r="CI77" i="27"/>
  <c r="CI68" i="27"/>
  <c r="CI32" i="27"/>
  <c r="CI76" i="27"/>
  <c r="CI79" i="27"/>
  <c r="CI65" i="27"/>
  <c r="CI27" i="27"/>
  <c r="CI43" i="27"/>
  <c r="CI48" i="27"/>
  <c r="CI58" i="27"/>
  <c r="CI41" i="27"/>
  <c r="CI26" i="27"/>
  <c r="CI8" i="27"/>
  <c r="CI60" i="27"/>
  <c r="CI37" i="27"/>
  <c r="CI84" i="27"/>
  <c r="CI34" i="27"/>
  <c r="CI49" i="27"/>
  <c r="CI54" i="27"/>
  <c r="CI57" i="27"/>
  <c r="CI17" i="27"/>
  <c r="CI29" i="27"/>
  <c r="CI56" i="27"/>
  <c r="CI72" i="27"/>
  <c r="CI44" i="27"/>
  <c r="CI35" i="27"/>
  <c r="CI36" i="27"/>
  <c r="CI9" i="27"/>
  <c r="CI55" i="27"/>
  <c r="CI18" i="27"/>
  <c r="CI85" i="27"/>
  <c r="CI12" i="27"/>
  <c r="CI73" i="27"/>
  <c r="CI64" i="27"/>
  <c r="CI45" i="27"/>
  <c r="CI87" i="27"/>
  <c r="CH69" i="27"/>
  <c r="CF82" i="27"/>
  <c r="CH77" i="27"/>
  <c r="CH80" i="27"/>
  <c r="CF78" i="27"/>
  <c r="CF85" i="27"/>
  <c r="CH58" i="27"/>
  <c r="CF65" i="27"/>
  <c r="CF80" i="27"/>
  <c r="CH81" i="27"/>
  <c r="CH74" i="27"/>
  <c r="CF63" i="27"/>
  <c r="CH61" i="27"/>
  <c r="CF84" i="27"/>
  <c r="CF60" i="27"/>
  <c r="CF58" i="27"/>
  <c r="CF73" i="27"/>
  <c r="CH79" i="27"/>
  <c r="CF61" i="27"/>
  <c r="CF59" i="27"/>
  <c r="CH64" i="27"/>
  <c r="CF86" i="27"/>
  <c r="CF66" i="27"/>
  <c r="CH87" i="27"/>
  <c r="CH59" i="27"/>
  <c r="CF68" i="27"/>
  <c r="CH63" i="27"/>
  <c r="CH86" i="27"/>
  <c r="CF70" i="27"/>
  <c r="CH84" i="27"/>
  <c r="CF81" i="27"/>
  <c r="CH67" i="27"/>
  <c r="CH83" i="27"/>
  <c r="CH62" i="27"/>
  <c r="CH68" i="27"/>
  <c r="CF69" i="27"/>
  <c r="CF76" i="27"/>
  <c r="CH65" i="27"/>
  <c r="CF71" i="27"/>
  <c r="CF79" i="27"/>
  <c r="CH85" i="27"/>
  <c r="CF75" i="27"/>
  <c r="CH71" i="27"/>
  <c r="CF74" i="27"/>
  <c r="CF62" i="27"/>
  <c r="CF64" i="27"/>
  <c r="CH78" i="27"/>
  <c r="CH76" i="27"/>
  <c r="CF67" i="27"/>
  <c r="CF83" i="27"/>
  <c r="CH66" i="27"/>
  <c r="CF87" i="27"/>
  <c r="CH75" i="27"/>
  <c r="CH72" i="27"/>
  <c r="CH60" i="27"/>
  <c r="CH70" i="27"/>
  <c r="CH73" i="27"/>
  <c r="CF72" i="27"/>
  <c r="CF77" i="27"/>
  <c r="CH82" i="27"/>
  <c r="CH14" i="27"/>
  <c r="CH17" i="27"/>
  <c r="CH33" i="27"/>
  <c r="CH23" i="27"/>
  <c r="CH54" i="27"/>
  <c r="CH44" i="27"/>
  <c r="CH27" i="27"/>
  <c r="CH46" i="27"/>
  <c r="CH51" i="27"/>
  <c r="CH22" i="27"/>
  <c r="CH35" i="27"/>
  <c r="CH26" i="27"/>
  <c r="CH24" i="27"/>
  <c r="CH30" i="27"/>
  <c r="CH11" i="27"/>
  <c r="CH18" i="27"/>
  <c r="CH29" i="27"/>
  <c r="CH52" i="27"/>
  <c r="CH38" i="27"/>
  <c r="CH15" i="27"/>
  <c r="CH57" i="27"/>
  <c r="CH41" i="27"/>
  <c r="CH36" i="27"/>
  <c r="CH10" i="27"/>
  <c r="CH50" i="27"/>
  <c r="CH55" i="27"/>
  <c r="CH49" i="27"/>
  <c r="CH34" i="27"/>
  <c r="CH28" i="27"/>
  <c r="CH53" i="27"/>
  <c r="CH56" i="27"/>
  <c r="CH45" i="27"/>
  <c r="CH48" i="27"/>
  <c r="CH19" i="27"/>
  <c r="CH40" i="27"/>
  <c r="CH13" i="27"/>
  <c r="CH25" i="27"/>
  <c r="CH9" i="27"/>
  <c r="CH31" i="27"/>
  <c r="CH42" i="27"/>
  <c r="CH12" i="27"/>
  <c r="CH8" i="27"/>
  <c r="CH39" i="27"/>
  <c r="CH47" i="27"/>
  <c r="CC7" i="27"/>
  <c r="CH21" i="27"/>
  <c r="CH20" i="27"/>
  <c r="CB7" i="27"/>
  <c r="CH32" i="27"/>
  <c r="CH16" i="27"/>
  <c r="CH43" i="27"/>
  <c r="CH37" i="27"/>
  <c r="CF35" i="27"/>
  <c r="CF40" i="27"/>
  <c r="CF33" i="27"/>
  <c r="CF13" i="27"/>
  <c r="CF52" i="27"/>
  <c r="CF44" i="27"/>
  <c r="CF15" i="27"/>
  <c r="CF46" i="27"/>
  <c r="CF37" i="27"/>
  <c r="CF11" i="27"/>
  <c r="CF41" i="27"/>
  <c r="CF36" i="27"/>
  <c r="CF45" i="27"/>
  <c r="CF10" i="27"/>
  <c r="CF26" i="27"/>
  <c r="CF30" i="27"/>
  <c r="CF20" i="27"/>
  <c r="CF23" i="27"/>
  <c r="CF17" i="27"/>
  <c r="CF27" i="27"/>
  <c r="CF54" i="27"/>
  <c r="CF18" i="27"/>
  <c r="CF50" i="27"/>
  <c r="CF56" i="27"/>
  <c r="CF49" i="27"/>
  <c r="CF43" i="27"/>
  <c r="CF29" i="27"/>
  <c r="CF55" i="27"/>
  <c r="CF42" i="27"/>
  <c r="CF48" i="27"/>
  <c r="CF47" i="27"/>
  <c r="CF31" i="27"/>
  <c r="CF53" i="27"/>
  <c r="CF21" i="27"/>
  <c r="CF19" i="27"/>
  <c r="CF51" i="27"/>
  <c r="CF14" i="27"/>
  <c r="CF28" i="27"/>
  <c r="CF12" i="27"/>
  <c r="CF34" i="27"/>
  <c r="CF22" i="27"/>
  <c r="CF38" i="27"/>
  <c r="CF39" i="27"/>
  <c r="CF24" i="27"/>
  <c r="CF16" i="27"/>
  <c r="CF57" i="27"/>
  <c r="CF8" i="27"/>
  <c r="CF9" i="27"/>
  <c r="CF32" i="27"/>
  <c r="CF25" i="27"/>
  <c r="T8" i="16"/>
  <c r="K15" i="27"/>
  <c r="AI15" i="27"/>
  <c r="AA14" i="27"/>
  <c r="AD14" i="27" s="1"/>
  <c r="AU36" i="27"/>
  <c r="BQ13" i="16"/>
  <c r="T12" i="16"/>
  <c r="Y24" i="11"/>
  <c r="AJ24" i="11" s="1"/>
  <c r="AK24" i="11" s="1"/>
  <c r="AL24" i="11" s="1"/>
  <c r="AM24" i="11" s="1"/>
  <c r="AN24" i="11" s="1"/>
  <c r="AO24" i="11" s="1"/>
  <c r="AP24" i="11" s="1"/>
  <c r="AQ24" i="11" s="1"/>
  <c r="AR24" i="11" s="1"/>
  <c r="AS24" i="11" s="1"/>
  <c r="AT24" i="11" s="1"/>
  <c r="AU24" i="11" s="1"/>
  <c r="AV24" i="11" s="1"/>
  <c r="AW24" i="11" s="1"/>
  <c r="AX24" i="11" s="1"/>
  <c r="AY24" i="11" s="1"/>
  <c r="AZ24" i="11" s="1"/>
  <c r="BA24" i="11" s="1"/>
  <c r="BB24" i="11" s="1"/>
  <c r="BC24" i="11" s="1"/>
  <c r="BD24" i="11" s="1"/>
  <c r="BE24" i="11" s="1"/>
  <c r="BF24" i="11" s="1"/>
  <c r="BG24" i="11" s="1"/>
  <c r="BH24" i="11" s="1"/>
  <c r="BI24" i="11" s="1"/>
  <c r="BJ24" i="11" s="1"/>
  <c r="BK24" i="11" s="1"/>
  <c r="BL24" i="11" s="1"/>
  <c r="BM24" i="11" s="1"/>
  <c r="BN24" i="11" s="1"/>
  <c r="BO24" i="11" s="1"/>
  <c r="BP24" i="11" s="1"/>
  <c r="BQ24" i="11" s="1"/>
  <c r="BR24" i="11" s="1"/>
  <c r="BS24" i="11" s="1"/>
  <c r="BT24" i="11" s="1"/>
  <c r="BU24" i="11" s="1"/>
  <c r="BV24" i="11" s="1"/>
  <c r="BW24" i="11" s="1"/>
  <c r="BX24" i="11" s="1"/>
  <c r="BY24" i="11" s="1"/>
  <c r="BZ24" i="11" s="1"/>
  <c r="CA24" i="11" s="1"/>
  <c r="CB24" i="11" s="1"/>
  <c r="CC24" i="11" s="1"/>
  <c r="CD24" i="11" s="1"/>
  <c r="CE24" i="11" s="1"/>
  <c r="CF24" i="11" s="1"/>
  <c r="CG24" i="11" s="1"/>
  <c r="CH24" i="11" s="1"/>
  <c r="CI24" i="11" s="1"/>
  <c r="CJ24" i="11" s="1"/>
  <c r="CK24" i="11" s="1"/>
  <c r="CL24" i="11" s="1"/>
  <c r="CM24" i="11" s="1"/>
  <c r="CN24" i="11" s="1"/>
  <c r="CO24" i="11" s="1"/>
  <c r="CP24" i="11" s="1"/>
  <c r="CQ24" i="11" s="1"/>
  <c r="CR24" i="11" s="1"/>
  <c r="CS24" i="11" s="1"/>
  <c r="CT24" i="11" s="1"/>
  <c r="CU24" i="11" s="1"/>
  <c r="CV24" i="11" s="1"/>
  <c r="CW24" i="11" s="1"/>
  <c r="CX24" i="11" s="1"/>
  <c r="CY24" i="11" s="1"/>
  <c r="CZ24" i="11" s="1"/>
  <c r="DA24" i="11" s="1"/>
  <c r="DB24" i="11" s="1"/>
  <c r="DC24" i="11" s="1"/>
  <c r="DD24" i="11" s="1"/>
  <c r="DE24" i="11" s="1"/>
  <c r="DF24" i="11" s="1"/>
  <c r="DG24" i="11" s="1"/>
  <c r="DH24" i="11" s="1"/>
  <c r="DI24" i="11" s="1"/>
  <c r="DJ24" i="11" s="1"/>
  <c r="DK24" i="11" s="1"/>
  <c r="DL24" i="11" s="1"/>
  <c r="Y16" i="11"/>
  <c r="Y23" i="11"/>
  <c r="AJ23" i="11" s="1"/>
  <c r="AK23" i="11" s="1"/>
  <c r="AL23" i="11" s="1"/>
  <c r="AM23" i="11" s="1"/>
  <c r="AN23" i="11" s="1"/>
  <c r="AO23" i="11" s="1"/>
  <c r="AP23" i="11" s="1"/>
  <c r="AQ23" i="11" s="1"/>
  <c r="AR23" i="11" s="1"/>
  <c r="AS23" i="11" s="1"/>
  <c r="AT23" i="11" s="1"/>
  <c r="AU23" i="11" s="1"/>
  <c r="AV23" i="11" s="1"/>
  <c r="AW23" i="11" s="1"/>
  <c r="AX23" i="11" s="1"/>
  <c r="AY23" i="11" s="1"/>
  <c r="AZ23" i="11" s="1"/>
  <c r="BA23" i="11" s="1"/>
  <c r="BB23" i="11" s="1"/>
  <c r="BC23" i="11" s="1"/>
  <c r="BD23" i="11" s="1"/>
  <c r="BE23" i="11" s="1"/>
  <c r="BF23" i="11" s="1"/>
  <c r="BG23" i="11" s="1"/>
  <c r="BH23" i="11" s="1"/>
  <c r="BI23" i="11" s="1"/>
  <c r="BJ23" i="11" s="1"/>
  <c r="BK23" i="11" s="1"/>
  <c r="BL23" i="11" s="1"/>
  <c r="BM23" i="11" s="1"/>
  <c r="BN23" i="11" s="1"/>
  <c r="BO23" i="11" s="1"/>
  <c r="BP23" i="11" s="1"/>
  <c r="BQ23" i="11" s="1"/>
  <c r="BR23" i="11" s="1"/>
  <c r="BS23" i="11" s="1"/>
  <c r="BT23" i="11" s="1"/>
  <c r="BU23" i="11" s="1"/>
  <c r="BV23" i="11" s="1"/>
  <c r="BW23" i="11" s="1"/>
  <c r="BX23" i="11" s="1"/>
  <c r="BY23" i="11" s="1"/>
  <c r="BZ23" i="11" s="1"/>
  <c r="CA23" i="11" s="1"/>
  <c r="CB23" i="11" s="1"/>
  <c r="CC23" i="11" s="1"/>
  <c r="CD23" i="11" s="1"/>
  <c r="CE23" i="11" s="1"/>
  <c r="CF23" i="11" s="1"/>
  <c r="CG23" i="11" s="1"/>
  <c r="CH23" i="11" s="1"/>
  <c r="CI23" i="11" s="1"/>
  <c r="CJ23" i="11" s="1"/>
  <c r="CK23" i="11" s="1"/>
  <c r="CL23" i="11" s="1"/>
  <c r="CM23" i="11" s="1"/>
  <c r="CN23" i="11" s="1"/>
  <c r="CO23" i="11" s="1"/>
  <c r="CP23" i="11" s="1"/>
  <c r="CQ23" i="11" s="1"/>
  <c r="CR23" i="11" s="1"/>
  <c r="CS23" i="11" s="1"/>
  <c r="CT23" i="11" s="1"/>
  <c r="CU23" i="11" s="1"/>
  <c r="CV23" i="11" s="1"/>
  <c r="CW23" i="11" s="1"/>
  <c r="CX23" i="11" s="1"/>
  <c r="CY23" i="11" s="1"/>
  <c r="CZ23" i="11" s="1"/>
  <c r="DA23" i="11" s="1"/>
  <c r="DB23" i="11" s="1"/>
  <c r="DC23" i="11" s="1"/>
  <c r="DD23" i="11" s="1"/>
  <c r="DE23" i="11" s="1"/>
  <c r="DF23" i="11" s="1"/>
  <c r="DG23" i="11" s="1"/>
  <c r="DH23" i="11" s="1"/>
  <c r="DI23" i="11" s="1"/>
  <c r="DJ23" i="11" s="1"/>
  <c r="DK23" i="11" s="1"/>
  <c r="DL23" i="11" s="1"/>
  <c r="R10" i="11"/>
  <c r="Y20" i="11"/>
  <c r="AJ20" i="11" s="1"/>
  <c r="AK20" i="11" s="1"/>
  <c r="AL20" i="11" s="1"/>
  <c r="AM20" i="11" s="1"/>
  <c r="AN20" i="11" s="1"/>
  <c r="AO20" i="11" s="1"/>
  <c r="AP20" i="11" s="1"/>
  <c r="AQ20" i="11" s="1"/>
  <c r="AR20" i="11" s="1"/>
  <c r="AS20" i="11" s="1"/>
  <c r="AT20" i="11" s="1"/>
  <c r="AU20" i="11" s="1"/>
  <c r="AV20" i="11" s="1"/>
  <c r="AW20" i="11" s="1"/>
  <c r="AX20" i="11" s="1"/>
  <c r="AY20" i="11" s="1"/>
  <c r="AZ20" i="11" s="1"/>
  <c r="BA20" i="11" s="1"/>
  <c r="BB20" i="11" s="1"/>
  <c r="BC20" i="11" s="1"/>
  <c r="BD20" i="11" s="1"/>
  <c r="BE20" i="11" s="1"/>
  <c r="BF20" i="11" s="1"/>
  <c r="BG20" i="11" s="1"/>
  <c r="BH20" i="11" s="1"/>
  <c r="BI20" i="11" s="1"/>
  <c r="BJ20" i="11" s="1"/>
  <c r="BK20" i="11" s="1"/>
  <c r="BL20" i="11" s="1"/>
  <c r="BM20" i="11" s="1"/>
  <c r="BN20" i="11" s="1"/>
  <c r="BO20" i="11" s="1"/>
  <c r="BP20" i="11" s="1"/>
  <c r="BQ20" i="11" s="1"/>
  <c r="BR20" i="11" s="1"/>
  <c r="BS20" i="11" s="1"/>
  <c r="BT20" i="11" s="1"/>
  <c r="BU20" i="11" s="1"/>
  <c r="BV20" i="11" s="1"/>
  <c r="BW20" i="11" s="1"/>
  <c r="BX20" i="11" s="1"/>
  <c r="BY20" i="11" s="1"/>
  <c r="BZ20" i="11" s="1"/>
  <c r="CA20" i="11" s="1"/>
  <c r="CB20" i="11" s="1"/>
  <c r="CC20" i="11" s="1"/>
  <c r="CD20" i="11" s="1"/>
  <c r="CE20" i="11" s="1"/>
  <c r="CF20" i="11" s="1"/>
  <c r="CG20" i="11" s="1"/>
  <c r="CH20" i="11" s="1"/>
  <c r="CI20" i="11" s="1"/>
  <c r="CJ20" i="11" s="1"/>
  <c r="CK20" i="11" s="1"/>
  <c r="CL20" i="11" s="1"/>
  <c r="CM20" i="11" s="1"/>
  <c r="CN20" i="11" s="1"/>
  <c r="CO20" i="11" s="1"/>
  <c r="CP20" i="11" s="1"/>
  <c r="CQ20" i="11" s="1"/>
  <c r="CR20" i="11" s="1"/>
  <c r="CS20" i="11" s="1"/>
  <c r="CT20" i="11" s="1"/>
  <c r="CU20" i="11" s="1"/>
  <c r="CV20" i="11" s="1"/>
  <c r="CW20" i="11" s="1"/>
  <c r="CX20" i="11" s="1"/>
  <c r="CY20" i="11" s="1"/>
  <c r="CZ20" i="11" s="1"/>
  <c r="DA20" i="11" s="1"/>
  <c r="DB20" i="11" s="1"/>
  <c r="DC20" i="11" s="1"/>
  <c r="DD20" i="11" s="1"/>
  <c r="DE20" i="11" s="1"/>
  <c r="DF20" i="11" s="1"/>
  <c r="DG20" i="11" s="1"/>
  <c r="DH20" i="11" s="1"/>
  <c r="DI20" i="11" s="1"/>
  <c r="DJ20" i="11" s="1"/>
  <c r="DK20" i="11" s="1"/>
  <c r="DL20" i="11" s="1"/>
  <c r="Y21" i="11"/>
  <c r="AJ21" i="11" s="1"/>
  <c r="AK21" i="11" s="1"/>
  <c r="AL21" i="11" s="1"/>
  <c r="AM21" i="11" s="1"/>
  <c r="AN21" i="11" s="1"/>
  <c r="AO21" i="11" s="1"/>
  <c r="AP21" i="11" s="1"/>
  <c r="AQ21" i="11" s="1"/>
  <c r="AR21" i="11" s="1"/>
  <c r="AS21" i="11" s="1"/>
  <c r="AT21" i="11" s="1"/>
  <c r="AU21" i="11" s="1"/>
  <c r="AV21" i="11" s="1"/>
  <c r="AW21" i="11" s="1"/>
  <c r="AX21" i="11" s="1"/>
  <c r="AY21" i="11" s="1"/>
  <c r="AZ21" i="11" s="1"/>
  <c r="BA21" i="11" s="1"/>
  <c r="BB21" i="11" s="1"/>
  <c r="BC21" i="11" s="1"/>
  <c r="BD21" i="11" s="1"/>
  <c r="BE21" i="11" s="1"/>
  <c r="BF21" i="11" s="1"/>
  <c r="BG21" i="11" s="1"/>
  <c r="BH21" i="11" s="1"/>
  <c r="BI21" i="11" s="1"/>
  <c r="BJ21" i="11" s="1"/>
  <c r="BK21" i="11" s="1"/>
  <c r="BL21" i="11" s="1"/>
  <c r="BM21" i="11" s="1"/>
  <c r="BN21" i="11" s="1"/>
  <c r="BO21" i="11" s="1"/>
  <c r="BP21" i="11" s="1"/>
  <c r="BQ21" i="11" s="1"/>
  <c r="BR21" i="11" s="1"/>
  <c r="BS21" i="11" s="1"/>
  <c r="BT21" i="11" s="1"/>
  <c r="BU21" i="11" s="1"/>
  <c r="BV21" i="11" s="1"/>
  <c r="BW21" i="11" s="1"/>
  <c r="BX21" i="11" s="1"/>
  <c r="BY21" i="11" s="1"/>
  <c r="BZ21" i="11" s="1"/>
  <c r="CA21" i="11" s="1"/>
  <c r="CB21" i="11" s="1"/>
  <c r="CC21" i="11" s="1"/>
  <c r="CD21" i="11" s="1"/>
  <c r="CE21" i="11" s="1"/>
  <c r="CF21" i="11" s="1"/>
  <c r="CG21" i="11" s="1"/>
  <c r="CH21" i="11" s="1"/>
  <c r="CI21" i="11" s="1"/>
  <c r="CJ21" i="11" s="1"/>
  <c r="CK21" i="11" s="1"/>
  <c r="CL21" i="11" s="1"/>
  <c r="CM21" i="11" s="1"/>
  <c r="CN21" i="11" s="1"/>
  <c r="CO21" i="11" s="1"/>
  <c r="CP21" i="11" s="1"/>
  <c r="CQ21" i="11" s="1"/>
  <c r="CR21" i="11" s="1"/>
  <c r="CS21" i="11" s="1"/>
  <c r="CT21" i="11" s="1"/>
  <c r="CU21" i="11" s="1"/>
  <c r="CV21" i="11" s="1"/>
  <c r="CW21" i="11" s="1"/>
  <c r="CX21" i="11" s="1"/>
  <c r="CY21" i="11" s="1"/>
  <c r="CZ21" i="11" s="1"/>
  <c r="DA21" i="11" s="1"/>
  <c r="DB21" i="11" s="1"/>
  <c r="DC21" i="11" s="1"/>
  <c r="DD21" i="11" s="1"/>
  <c r="DE21" i="11" s="1"/>
  <c r="DF21" i="11" s="1"/>
  <c r="DG21" i="11" s="1"/>
  <c r="DH21" i="11" s="1"/>
  <c r="DI21" i="11" s="1"/>
  <c r="DJ21" i="11" s="1"/>
  <c r="DK21" i="11" s="1"/>
  <c r="DL21" i="11" s="1"/>
  <c r="Y47" i="11"/>
  <c r="Y6" i="11"/>
  <c r="Y25" i="11"/>
  <c r="Y3" i="11"/>
  <c r="AJ3" i="11" s="1"/>
  <c r="AK3" i="11" s="1"/>
  <c r="AL3" i="11" s="1"/>
  <c r="AM3" i="11" s="1"/>
  <c r="AN3" i="11" s="1"/>
  <c r="AO3" i="11" s="1"/>
  <c r="AP3" i="11" s="1"/>
  <c r="AQ3" i="11" s="1"/>
  <c r="AR3" i="11" s="1"/>
  <c r="AS3" i="11" s="1"/>
  <c r="AT3" i="11" s="1"/>
  <c r="AU3" i="11" s="1"/>
  <c r="AV3" i="11" s="1"/>
  <c r="AW3" i="11" s="1"/>
  <c r="AX3" i="11" s="1"/>
  <c r="AY3" i="11" s="1"/>
  <c r="AZ3" i="11" s="1"/>
  <c r="BA3" i="11" s="1"/>
  <c r="BB3" i="11" s="1"/>
  <c r="BC3" i="11" s="1"/>
  <c r="BD3" i="11" s="1"/>
  <c r="BE3" i="11" s="1"/>
  <c r="BF3" i="11" s="1"/>
  <c r="BG3" i="11" s="1"/>
  <c r="BH3" i="11" s="1"/>
  <c r="BI3" i="11" s="1"/>
  <c r="BJ3" i="11" s="1"/>
  <c r="BK3" i="11" s="1"/>
  <c r="BL3" i="11" s="1"/>
  <c r="BM3" i="11" s="1"/>
  <c r="BN3" i="11" s="1"/>
  <c r="BO3" i="11" s="1"/>
  <c r="BP3" i="11" s="1"/>
  <c r="BQ3" i="11" s="1"/>
  <c r="BR3" i="11" s="1"/>
  <c r="BS3" i="11" s="1"/>
  <c r="BT3" i="11" s="1"/>
  <c r="BU3" i="11" s="1"/>
  <c r="BV3" i="11" s="1"/>
  <c r="BW3" i="11" s="1"/>
  <c r="BX3" i="11" s="1"/>
  <c r="BY3" i="11" s="1"/>
  <c r="BZ3" i="11" s="1"/>
  <c r="CA3" i="11" s="1"/>
  <c r="CB3" i="11" s="1"/>
  <c r="CC3" i="11" s="1"/>
  <c r="CD3" i="11" s="1"/>
  <c r="CE3" i="11" s="1"/>
  <c r="CF3" i="11" s="1"/>
  <c r="CG3" i="11" s="1"/>
  <c r="CH3" i="11" s="1"/>
  <c r="CI3" i="11" s="1"/>
  <c r="CJ3" i="11" s="1"/>
  <c r="CK3" i="11" s="1"/>
  <c r="CL3" i="11" s="1"/>
  <c r="CM3" i="11" s="1"/>
  <c r="CN3" i="11" s="1"/>
  <c r="CO3" i="11" s="1"/>
  <c r="CP3" i="11" s="1"/>
  <c r="CQ3" i="11" s="1"/>
  <c r="CR3" i="11" s="1"/>
  <c r="CS3" i="11" s="1"/>
  <c r="CT3" i="11" s="1"/>
  <c r="CU3" i="11" s="1"/>
  <c r="CV3" i="11" s="1"/>
  <c r="CW3" i="11" s="1"/>
  <c r="CX3" i="11" s="1"/>
  <c r="CY3" i="11" s="1"/>
  <c r="CZ3" i="11" s="1"/>
  <c r="DA3" i="11" s="1"/>
  <c r="DB3" i="11" s="1"/>
  <c r="DC3" i="11" s="1"/>
  <c r="DD3" i="11" s="1"/>
  <c r="DE3" i="11" s="1"/>
  <c r="DF3" i="11" s="1"/>
  <c r="DG3" i="11" s="1"/>
  <c r="DH3" i="11" s="1"/>
  <c r="DI3" i="11" s="1"/>
  <c r="DJ3" i="11" s="1"/>
  <c r="DK3" i="11" s="1"/>
  <c r="DL3" i="11" s="1"/>
  <c r="Y31" i="11"/>
  <c r="Y46" i="11"/>
  <c r="Y30" i="11"/>
  <c r="Y5" i="11"/>
  <c r="AJ5" i="11" s="1"/>
  <c r="AK5" i="11" s="1"/>
  <c r="AL5" i="11" s="1"/>
  <c r="AM5" i="11" s="1"/>
  <c r="AN5" i="11" s="1"/>
  <c r="AO5" i="11" s="1"/>
  <c r="AP5" i="11" s="1"/>
  <c r="AQ5" i="11" s="1"/>
  <c r="AR5" i="11" s="1"/>
  <c r="AS5" i="11" s="1"/>
  <c r="AT5" i="11" s="1"/>
  <c r="AU5" i="11" s="1"/>
  <c r="AV5" i="11" s="1"/>
  <c r="AW5" i="11" s="1"/>
  <c r="AX5" i="11" s="1"/>
  <c r="AY5" i="11" s="1"/>
  <c r="AZ5" i="11" s="1"/>
  <c r="BA5" i="11" s="1"/>
  <c r="BB5" i="11" s="1"/>
  <c r="BC5" i="11" s="1"/>
  <c r="Y13" i="11"/>
  <c r="AJ13" i="11" s="1"/>
  <c r="AK13" i="11" s="1"/>
  <c r="AL13" i="11" s="1"/>
  <c r="AM13" i="11" s="1"/>
  <c r="AN13" i="11" s="1"/>
  <c r="AO13" i="11" s="1"/>
  <c r="AP13" i="11" s="1"/>
  <c r="AQ13" i="11" s="1"/>
  <c r="AR13" i="11" s="1"/>
  <c r="AS13" i="11" s="1"/>
  <c r="AT13" i="11" s="1"/>
  <c r="AU13" i="11" s="1"/>
  <c r="AV13" i="11" s="1"/>
  <c r="AW13" i="11" s="1"/>
  <c r="AX13" i="11" s="1"/>
  <c r="AY13" i="11" s="1"/>
  <c r="AZ13" i="11" s="1"/>
  <c r="BA13" i="11" s="1"/>
  <c r="BB13" i="11" s="1"/>
  <c r="BC13" i="11" s="1"/>
  <c r="BD13" i="11" s="1"/>
  <c r="BE13" i="11" s="1"/>
  <c r="BF13" i="11" s="1"/>
  <c r="BG13" i="11" s="1"/>
  <c r="BH13" i="11" s="1"/>
  <c r="BI13" i="11" s="1"/>
  <c r="BJ13" i="11" s="1"/>
  <c r="BK13" i="11" s="1"/>
  <c r="BL13" i="11" s="1"/>
  <c r="BM13" i="11" s="1"/>
  <c r="BN13" i="11" s="1"/>
  <c r="BO13" i="11" s="1"/>
  <c r="BP13" i="11" s="1"/>
  <c r="BQ13" i="11" s="1"/>
  <c r="BR13" i="11" s="1"/>
  <c r="BS13" i="11" s="1"/>
  <c r="BT13" i="11" s="1"/>
  <c r="BU13" i="11" s="1"/>
  <c r="BV13" i="11" s="1"/>
  <c r="BW13" i="11" s="1"/>
  <c r="BX13" i="11" s="1"/>
  <c r="BY13" i="11" s="1"/>
  <c r="BZ13" i="11" s="1"/>
  <c r="CA13" i="11" s="1"/>
  <c r="CB13" i="11" s="1"/>
  <c r="CC13" i="11" s="1"/>
  <c r="CD13" i="11" s="1"/>
  <c r="CE13" i="11" s="1"/>
  <c r="CF13" i="11" s="1"/>
  <c r="CG13" i="11" s="1"/>
  <c r="CH13" i="11" s="1"/>
  <c r="CI13" i="11" s="1"/>
  <c r="CJ13" i="11" s="1"/>
  <c r="CK13" i="11" s="1"/>
  <c r="CL13" i="11" s="1"/>
  <c r="CM13" i="11" s="1"/>
  <c r="CN13" i="11" s="1"/>
  <c r="CO13" i="11" s="1"/>
  <c r="CP13" i="11" s="1"/>
  <c r="CQ13" i="11" s="1"/>
  <c r="CR13" i="11" s="1"/>
  <c r="CS13" i="11" s="1"/>
  <c r="CT13" i="11" s="1"/>
  <c r="CU13" i="11" s="1"/>
  <c r="CV13" i="11" s="1"/>
  <c r="CW13" i="11" s="1"/>
  <c r="CX13" i="11" s="1"/>
  <c r="CY13" i="11" s="1"/>
  <c r="CZ13" i="11" s="1"/>
  <c r="DA13" i="11" s="1"/>
  <c r="DB13" i="11" s="1"/>
  <c r="DC13" i="11" s="1"/>
  <c r="DD13" i="11" s="1"/>
  <c r="DE13" i="11" s="1"/>
  <c r="DF13" i="11" s="1"/>
  <c r="DG13" i="11" s="1"/>
  <c r="DH13" i="11" s="1"/>
  <c r="DI13" i="11" s="1"/>
  <c r="DJ13" i="11" s="1"/>
  <c r="DK13" i="11" s="1"/>
  <c r="DL13" i="11" s="1"/>
  <c r="Y45" i="11"/>
  <c r="Y8" i="11"/>
  <c r="AJ8" i="11" s="1"/>
  <c r="AK8" i="11" s="1"/>
  <c r="AL8" i="11" s="1"/>
  <c r="AM8" i="11" s="1"/>
  <c r="AN8" i="11" s="1"/>
  <c r="AO8" i="11" s="1"/>
  <c r="AP8" i="11" s="1"/>
  <c r="AQ8" i="11" s="1"/>
  <c r="AR8" i="11" s="1"/>
  <c r="AS8" i="11" s="1"/>
  <c r="AT8" i="11" s="1"/>
  <c r="AU8" i="11" s="1"/>
  <c r="AV8" i="11" s="1"/>
  <c r="AW8" i="11" s="1"/>
  <c r="AX8" i="11" s="1"/>
  <c r="AY8" i="11" s="1"/>
  <c r="AZ8" i="11" s="1"/>
  <c r="BA8" i="11" s="1"/>
  <c r="BB8" i="11" s="1"/>
  <c r="BC8" i="11" s="1"/>
  <c r="BD8" i="11" s="1"/>
  <c r="BE8" i="11" s="1"/>
  <c r="BF8" i="11" s="1"/>
  <c r="BG8" i="11" s="1"/>
  <c r="BH8" i="11" s="1"/>
  <c r="BI8" i="11" s="1"/>
  <c r="BJ8" i="11" s="1"/>
  <c r="BK8" i="11" s="1"/>
  <c r="BL8" i="11" s="1"/>
  <c r="BM8" i="11" s="1"/>
  <c r="BN8" i="11" s="1"/>
  <c r="BO8" i="11" s="1"/>
  <c r="BP8" i="11" s="1"/>
  <c r="BQ8" i="11" s="1"/>
  <c r="BR8" i="11" s="1"/>
  <c r="BS8" i="11" s="1"/>
  <c r="BT8" i="11" s="1"/>
  <c r="BU8" i="11" s="1"/>
  <c r="BV8" i="11" s="1"/>
  <c r="BW8" i="11" s="1"/>
  <c r="BX8" i="11" s="1"/>
  <c r="BY8" i="11" s="1"/>
  <c r="BZ8" i="11" s="1"/>
  <c r="CA8" i="11" s="1"/>
  <c r="CB8" i="11" s="1"/>
  <c r="CC8" i="11" s="1"/>
  <c r="CD8" i="11" s="1"/>
  <c r="CE8" i="11" s="1"/>
  <c r="CF8" i="11" s="1"/>
  <c r="CG8" i="11" s="1"/>
  <c r="CH8" i="11" s="1"/>
  <c r="CI8" i="11" s="1"/>
  <c r="CJ8" i="11" s="1"/>
  <c r="CK8" i="11" s="1"/>
  <c r="CL8" i="11" s="1"/>
  <c r="CM8" i="11" s="1"/>
  <c r="CN8" i="11" s="1"/>
  <c r="CO8" i="11" s="1"/>
  <c r="CP8" i="11" s="1"/>
  <c r="CQ8" i="11" s="1"/>
  <c r="CR8" i="11" s="1"/>
  <c r="CS8" i="11" s="1"/>
  <c r="CT8" i="11" s="1"/>
  <c r="CU8" i="11" s="1"/>
  <c r="CV8" i="11" s="1"/>
  <c r="CW8" i="11" s="1"/>
  <c r="CX8" i="11" s="1"/>
  <c r="CY8" i="11" s="1"/>
  <c r="CZ8" i="11" s="1"/>
  <c r="DA8" i="11" s="1"/>
  <c r="DB8" i="11" s="1"/>
  <c r="DC8" i="11" s="1"/>
  <c r="DD8" i="11" s="1"/>
  <c r="DE8" i="11" s="1"/>
  <c r="DF8" i="11" s="1"/>
  <c r="DG8" i="11" s="1"/>
  <c r="DH8" i="11" s="1"/>
  <c r="DI8" i="11" s="1"/>
  <c r="DJ8" i="11" s="1"/>
  <c r="DK8" i="11" s="1"/>
  <c r="DL8" i="11" s="1"/>
  <c r="Y43" i="11"/>
  <c r="Y27" i="11"/>
  <c r="AJ27" i="11" s="1"/>
  <c r="AK27" i="11" s="1"/>
  <c r="AL27" i="11" s="1"/>
  <c r="AM27" i="11" s="1"/>
  <c r="AN27" i="11" s="1"/>
  <c r="AO27" i="11" s="1"/>
  <c r="AP27" i="11" s="1"/>
  <c r="AQ27" i="11" s="1"/>
  <c r="AR27" i="11" s="1"/>
  <c r="AS27" i="11" s="1"/>
  <c r="AT27" i="11" s="1"/>
  <c r="AU27" i="11" s="1"/>
  <c r="AV27" i="11" s="1"/>
  <c r="AW27" i="11" s="1"/>
  <c r="AX27" i="11" s="1"/>
  <c r="AY27" i="11" s="1"/>
  <c r="AZ27" i="11" s="1"/>
  <c r="BA27" i="11" s="1"/>
  <c r="BB27" i="11" s="1"/>
  <c r="BC27" i="11" s="1"/>
  <c r="BD27" i="11" s="1"/>
  <c r="BE27" i="11" s="1"/>
  <c r="BF27" i="11" s="1"/>
  <c r="BG27" i="11" s="1"/>
  <c r="BH27" i="11" s="1"/>
  <c r="BI27" i="11" s="1"/>
  <c r="BJ27" i="11" s="1"/>
  <c r="BK27" i="11" s="1"/>
  <c r="BL27" i="11" s="1"/>
  <c r="BM27" i="11" s="1"/>
  <c r="BN27" i="11" s="1"/>
  <c r="BO27" i="11" s="1"/>
  <c r="BP27" i="11" s="1"/>
  <c r="BQ27" i="11" s="1"/>
  <c r="BR27" i="11" s="1"/>
  <c r="BS27" i="11" s="1"/>
  <c r="BT27" i="11" s="1"/>
  <c r="BU27" i="11" s="1"/>
  <c r="BV27" i="11" s="1"/>
  <c r="BW27" i="11" s="1"/>
  <c r="BX27" i="11" s="1"/>
  <c r="BY27" i="11" s="1"/>
  <c r="BZ27" i="11" s="1"/>
  <c r="CA27" i="11" s="1"/>
  <c r="CB27" i="11" s="1"/>
  <c r="CC27" i="11" s="1"/>
  <c r="CD27" i="11" s="1"/>
  <c r="CE27" i="11" s="1"/>
  <c r="CF27" i="11" s="1"/>
  <c r="CG27" i="11" s="1"/>
  <c r="CH27" i="11" s="1"/>
  <c r="CI27" i="11" s="1"/>
  <c r="CJ27" i="11" s="1"/>
  <c r="CK27" i="11" s="1"/>
  <c r="CL27" i="11" s="1"/>
  <c r="CM27" i="11" s="1"/>
  <c r="CN27" i="11" s="1"/>
  <c r="CO27" i="11" s="1"/>
  <c r="CP27" i="11" s="1"/>
  <c r="CQ27" i="11" s="1"/>
  <c r="CR27" i="11" s="1"/>
  <c r="CS27" i="11" s="1"/>
  <c r="CT27" i="11" s="1"/>
  <c r="CU27" i="11" s="1"/>
  <c r="CV27" i="11" s="1"/>
  <c r="CW27" i="11" s="1"/>
  <c r="CX27" i="11" s="1"/>
  <c r="CY27" i="11" s="1"/>
  <c r="CZ27" i="11" s="1"/>
  <c r="DA27" i="11" s="1"/>
  <c r="DB27" i="11" s="1"/>
  <c r="DC27" i="11" s="1"/>
  <c r="DD27" i="11" s="1"/>
  <c r="DE27" i="11" s="1"/>
  <c r="DF27" i="11" s="1"/>
  <c r="DG27" i="11" s="1"/>
  <c r="DH27" i="11" s="1"/>
  <c r="DI27" i="11" s="1"/>
  <c r="DJ27" i="11" s="1"/>
  <c r="DK27" i="11" s="1"/>
  <c r="DL27" i="11" s="1"/>
  <c r="Y35" i="11"/>
  <c r="AJ35" i="11" s="1"/>
  <c r="AK35" i="11" s="1"/>
  <c r="AL35" i="11" s="1"/>
  <c r="AM35" i="11" s="1"/>
  <c r="AN35" i="11" s="1"/>
  <c r="AO35" i="11" s="1"/>
  <c r="AP35" i="11" s="1"/>
  <c r="AQ35" i="11" s="1"/>
  <c r="AR35" i="11" s="1"/>
  <c r="AS35" i="11" s="1"/>
  <c r="AT35" i="11" s="1"/>
  <c r="AU35" i="11" s="1"/>
  <c r="AV35" i="11" s="1"/>
  <c r="AW35" i="11" s="1"/>
  <c r="AX35" i="11" s="1"/>
  <c r="AY35" i="11" s="1"/>
  <c r="AZ35" i="11" s="1"/>
  <c r="BA35" i="11" s="1"/>
  <c r="BB35" i="11" s="1"/>
  <c r="BC35" i="11" s="1"/>
  <c r="BD35" i="11" s="1"/>
  <c r="BE35" i="11" s="1"/>
  <c r="BF35" i="11" s="1"/>
  <c r="BG35" i="11" s="1"/>
  <c r="BH35" i="11" s="1"/>
  <c r="BI35" i="11" s="1"/>
  <c r="BJ35" i="11" s="1"/>
  <c r="BK35" i="11" s="1"/>
  <c r="BL35" i="11" s="1"/>
  <c r="BM35" i="11" s="1"/>
  <c r="BN35" i="11" s="1"/>
  <c r="BO35" i="11" s="1"/>
  <c r="BP35" i="11" s="1"/>
  <c r="BQ35" i="11" s="1"/>
  <c r="BR35" i="11" s="1"/>
  <c r="BS35" i="11" s="1"/>
  <c r="BT35" i="11" s="1"/>
  <c r="BU35" i="11" s="1"/>
  <c r="BV35" i="11" s="1"/>
  <c r="BW35" i="11" s="1"/>
  <c r="BX35" i="11" s="1"/>
  <c r="BY35" i="11" s="1"/>
  <c r="BZ35" i="11" s="1"/>
  <c r="CA35" i="11" s="1"/>
  <c r="CB35" i="11" s="1"/>
  <c r="CC35" i="11" s="1"/>
  <c r="CD35" i="11" s="1"/>
  <c r="CE35" i="11" s="1"/>
  <c r="CF35" i="11" s="1"/>
  <c r="CG35" i="11" s="1"/>
  <c r="CH35" i="11" s="1"/>
  <c r="CI35" i="11" s="1"/>
  <c r="CJ35" i="11" s="1"/>
  <c r="CK35" i="11" s="1"/>
  <c r="CL35" i="11" s="1"/>
  <c r="CM35" i="11" s="1"/>
  <c r="CN35" i="11" s="1"/>
  <c r="CO35" i="11" s="1"/>
  <c r="CP35" i="11" s="1"/>
  <c r="CQ35" i="11" s="1"/>
  <c r="CR35" i="11" s="1"/>
  <c r="CS35" i="11" s="1"/>
  <c r="CT35" i="11" s="1"/>
  <c r="CU35" i="11" s="1"/>
  <c r="CV35" i="11" s="1"/>
  <c r="CW35" i="11" s="1"/>
  <c r="CX35" i="11" s="1"/>
  <c r="CY35" i="11" s="1"/>
  <c r="CZ35" i="11" s="1"/>
  <c r="DA35" i="11" s="1"/>
  <c r="DB35" i="11" s="1"/>
  <c r="DC35" i="11" s="1"/>
  <c r="DD35" i="11" s="1"/>
  <c r="DE35" i="11" s="1"/>
  <c r="DF35" i="11" s="1"/>
  <c r="DG35" i="11" s="1"/>
  <c r="DH35" i="11" s="1"/>
  <c r="DI35" i="11" s="1"/>
  <c r="DJ35" i="11" s="1"/>
  <c r="DK35" i="11" s="1"/>
  <c r="DL35" i="11" s="1"/>
  <c r="Y41" i="11"/>
  <c r="AJ41" i="11" s="1"/>
  <c r="AK41" i="11" s="1"/>
  <c r="AL41" i="11" s="1"/>
  <c r="AM41" i="11" s="1"/>
  <c r="AN41" i="11" s="1"/>
  <c r="AO41" i="11" s="1"/>
  <c r="AP41" i="11" s="1"/>
  <c r="AQ41" i="11" s="1"/>
  <c r="AR41" i="11" s="1"/>
  <c r="AS41" i="11" s="1"/>
  <c r="AT41" i="11" s="1"/>
  <c r="AU41" i="11" s="1"/>
  <c r="AV41" i="11" s="1"/>
  <c r="AW41" i="11" s="1"/>
  <c r="AX41" i="11" s="1"/>
  <c r="AY41" i="11" s="1"/>
  <c r="AZ41" i="11" s="1"/>
  <c r="BA41" i="11" s="1"/>
  <c r="BB41" i="11" s="1"/>
  <c r="BC41" i="11" s="1"/>
  <c r="BD41" i="11" s="1"/>
  <c r="BE41" i="11" s="1"/>
  <c r="BF41" i="11" s="1"/>
  <c r="BG41" i="11" s="1"/>
  <c r="BH41" i="11" s="1"/>
  <c r="BI41" i="11" s="1"/>
  <c r="BJ41" i="11" s="1"/>
  <c r="BK41" i="11" s="1"/>
  <c r="BL41" i="11" s="1"/>
  <c r="BM41" i="11" s="1"/>
  <c r="BN41" i="11" s="1"/>
  <c r="BO41" i="11" s="1"/>
  <c r="BP41" i="11" s="1"/>
  <c r="BQ41" i="11" s="1"/>
  <c r="BR41" i="11" s="1"/>
  <c r="BS41" i="11" s="1"/>
  <c r="BT41" i="11" s="1"/>
  <c r="BU41" i="11" s="1"/>
  <c r="BV41" i="11" s="1"/>
  <c r="BW41" i="11" s="1"/>
  <c r="BX41" i="11" s="1"/>
  <c r="BY41" i="11" s="1"/>
  <c r="BZ41" i="11" s="1"/>
  <c r="CA41" i="11" s="1"/>
  <c r="CB41" i="11" s="1"/>
  <c r="CC41" i="11" s="1"/>
  <c r="CD41" i="11" s="1"/>
  <c r="CE41" i="11" s="1"/>
  <c r="CF41" i="11" s="1"/>
  <c r="CG41" i="11" s="1"/>
  <c r="CH41" i="11" s="1"/>
  <c r="CI41" i="11" s="1"/>
  <c r="CJ41" i="11" s="1"/>
  <c r="CK41" i="11" s="1"/>
  <c r="CL41" i="11" s="1"/>
  <c r="CM41" i="11" s="1"/>
  <c r="CN41" i="11" s="1"/>
  <c r="CO41" i="11" s="1"/>
  <c r="CP41" i="11" s="1"/>
  <c r="CQ41" i="11" s="1"/>
  <c r="CR41" i="11" s="1"/>
  <c r="CS41" i="11" s="1"/>
  <c r="CT41" i="11" s="1"/>
  <c r="CU41" i="11" s="1"/>
  <c r="CV41" i="11" s="1"/>
  <c r="CW41" i="11" s="1"/>
  <c r="CX41" i="11" s="1"/>
  <c r="CY41" i="11" s="1"/>
  <c r="CZ41" i="11" s="1"/>
  <c r="DA41" i="11" s="1"/>
  <c r="DB41" i="11" s="1"/>
  <c r="DC41" i="11" s="1"/>
  <c r="DD41" i="11" s="1"/>
  <c r="DE41" i="11" s="1"/>
  <c r="DF41" i="11" s="1"/>
  <c r="DG41" i="11" s="1"/>
  <c r="DH41" i="11" s="1"/>
  <c r="DI41" i="11" s="1"/>
  <c r="DJ41" i="11" s="1"/>
  <c r="DK41" i="11" s="1"/>
  <c r="DL41" i="11" s="1"/>
  <c r="Y40" i="11"/>
  <c r="Y26" i="11"/>
  <c r="AJ26" i="11" s="1"/>
  <c r="AK26" i="11" s="1"/>
  <c r="AL26" i="11" s="1"/>
  <c r="AM26" i="11" s="1"/>
  <c r="AN26" i="11" s="1"/>
  <c r="AO26" i="11" s="1"/>
  <c r="AP26" i="11" s="1"/>
  <c r="AQ26" i="11" s="1"/>
  <c r="AR26" i="11" s="1"/>
  <c r="AS26" i="11" s="1"/>
  <c r="AT26" i="11" s="1"/>
  <c r="AU26" i="11" s="1"/>
  <c r="AV26" i="11" s="1"/>
  <c r="AW26" i="11" s="1"/>
  <c r="AX26" i="11" s="1"/>
  <c r="AY26" i="11" s="1"/>
  <c r="AZ26" i="11" s="1"/>
  <c r="BA26" i="11" s="1"/>
  <c r="BB26" i="11" s="1"/>
  <c r="BC26" i="11" s="1"/>
  <c r="BD26" i="11" s="1"/>
  <c r="BE26" i="11" s="1"/>
  <c r="BF26" i="11" s="1"/>
  <c r="BG26" i="11" s="1"/>
  <c r="BH26" i="11" s="1"/>
  <c r="BI26" i="11" s="1"/>
  <c r="BJ26" i="11" s="1"/>
  <c r="BK26" i="11" s="1"/>
  <c r="BL26" i="11" s="1"/>
  <c r="BM26" i="11" s="1"/>
  <c r="BN26" i="11" s="1"/>
  <c r="BO26" i="11" s="1"/>
  <c r="BP26" i="11" s="1"/>
  <c r="BQ26" i="11" s="1"/>
  <c r="BR26" i="11" s="1"/>
  <c r="BS26" i="11" s="1"/>
  <c r="BT26" i="11" s="1"/>
  <c r="BU26" i="11" s="1"/>
  <c r="BV26" i="11" s="1"/>
  <c r="BW26" i="11" s="1"/>
  <c r="BX26" i="11" s="1"/>
  <c r="BY26" i="11" s="1"/>
  <c r="BZ26" i="11" s="1"/>
  <c r="CA26" i="11" s="1"/>
  <c r="CB26" i="11" s="1"/>
  <c r="CC26" i="11" s="1"/>
  <c r="CD26" i="11" s="1"/>
  <c r="CE26" i="11" s="1"/>
  <c r="CF26" i="11" s="1"/>
  <c r="CG26" i="11" s="1"/>
  <c r="CH26" i="11" s="1"/>
  <c r="CI26" i="11" s="1"/>
  <c r="CJ26" i="11" s="1"/>
  <c r="CK26" i="11" s="1"/>
  <c r="CL26" i="11" s="1"/>
  <c r="CM26" i="11" s="1"/>
  <c r="CN26" i="11" s="1"/>
  <c r="CO26" i="11" s="1"/>
  <c r="CP26" i="11" s="1"/>
  <c r="CQ26" i="11" s="1"/>
  <c r="CR26" i="11" s="1"/>
  <c r="CS26" i="11" s="1"/>
  <c r="CT26" i="11" s="1"/>
  <c r="CU26" i="11" s="1"/>
  <c r="CV26" i="11" s="1"/>
  <c r="CW26" i="11" s="1"/>
  <c r="CX26" i="11" s="1"/>
  <c r="CY26" i="11" s="1"/>
  <c r="CZ26" i="11" s="1"/>
  <c r="DA26" i="11" s="1"/>
  <c r="DB26" i="11" s="1"/>
  <c r="DC26" i="11" s="1"/>
  <c r="DD26" i="11" s="1"/>
  <c r="DE26" i="11" s="1"/>
  <c r="DF26" i="11" s="1"/>
  <c r="DG26" i="11" s="1"/>
  <c r="DH26" i="11" s="1"/>
  <c r="DI26" i="11" s="1"/>
  <c r="DJ26" i="11" s="1"/>
  <c r="DK26" i="11" s="1"/>
  <c r="DL26" i="11" s="1"/>
  <c r="Y28" i="11"/>
  <c r="AJ28" i="11" s="1"/>
  <c r="AK28" i="11" s="1"/>
  <c r="AL28" i="11" s="1"/>
  <c r="AM28" i="11" s="1"/>
  <c r="AN28" i="11" s="1"/>
  <c r="AO28" i="11" s="1"/>
  <c r="AP28" i="11" s="1"/>
  <c r="AQ28" i="11" s="1"/>
  <c r="AR28" i="11" s="1"/>
  <c r="AS28" i="11" s="1"/>
  <c r="AT28" i="11" s="1"/>
  <c r="AU28" i="11" s="1"/>
  <c r="AV28" i="11" s="1"/>
  <c r="AW28" i="11" s="1"/>
  <c r="AX28" i="11" s="1"/>
  <c r="AY28" i="11" s="1"/>
  <c r="AZ28" i="11" s="1"/>
  <c r="BA28" i="11" s="1"/>
  <c r="BB28" i="11" s="1"/>
  <c r="BC28" i="11" s="1"/>
  <c r="BD28" i="11" s="1"/>
  <c r="BE28" i="11" s="1"/>
  <c r="BF28" i="11" s="1"/>
  <c r="BG28" i="11" s="1"/>
  <c r="BH28" i="11" s="1"/>
  <c r="BI28" i="11" s="1"/>
  <c r="BJ28" i="11" s="1"/>
  <c r="BK28" i="11" s="1"/>
  <c r="BL28" i="11" s="1"/>
  <c r="BM28" i="11" s="1"/>
  <c r="BN28" i="11" s="1"/>
  <c r="BO28" i="11" s="1"/>
  <c r="BP28" i="11" s="1"/>
  <c r="BQ28" i="11" s="1"/>
  <c r="BR28" i="11" s="1"/>
  <c r="BS28" i="11" s="1"/>
  <c r="BT28" i="11" s="1"/>
  <c r="BU28" i="11" s="1"/>
  <c r="BV28" i="11" s="1"/>
  <c r="BW28" i="11" s="1"/>
  <c r="BX28" i="11" s="1"/>
  <c r="BY28" i="11" s="1"/>
  <c r="BZ28" i="11" s="1"/>
  <c r="CA28" i="11" s="1"/>
  <c r="CB28" i="11" s="1"/>
  <c r="CC28" i="11" s="1"/>
  <c r="CD28" i="11" s="1"/>
  <c r="CE28" i="11" s="1"/>
  <c r="CF28" i="11" s="1"/>
  <c r="CG28" i="11" s="1"/>
  <c r="CH28" i="11" s="1"/>
  <c r="CI28" i="11" s="1"/>
  <c r="CJ28" i="11" s="1"/>
  <c r="CK28" i="11" s="1"/>
  <c r="CL28" i="11" s="1"/>
  <c r="CM28" i="11" s="1"/>
  <c r="CN28" i="11" s="1"/>
  <c r="CO28" i="11" s="1"/>
  <c r="CP28" i="11" s="1"/>
  <c r="CQ28" i="11" s="1"/>
  <c r="CR28" i="11" s="1"/>
  <c r="CS28" i="11" s="1"/>
  <c r="CT28" i="11" s="1"/>
  <c r="CU28" i="11" s="1"/>
  <c r="CV28" i="11" s="1"/>
  <c r="CW28" i="11" s="1"/>
  <c r="CX28" i="11" s="1"/>
  <c r="CY28" i="11" s="1"/>
  <c r="CZ28" i="11" s="1"/>
  <c r="DA28" i="11" s="1"/>
  <c r="DB28" i="11" s="1"/>
  <c r="DC28" i="11" s="1"/>
  <c r="DD28" i="11" s="1"/>
  <c r="DE28" i="11" s="1"/>
  <c r="DF28" i="11" s="1"/>
  <c r="DG28" i="11" s="1"/>
  <c r="DH28" i="11" s="1"/>
  <c r="DI28" i="11" s="1"/>
  <c r="DJ28" i="11" s="1"/>
  <c r="DK28" i="11" s="1"/>
  <c r="DL28" i="11" s="1"/>
  <c r="Y36" i="11"/>
  <c r="AJ36" i="11" s="1"/>
  <c r="AK36" i="11" s="1"/>
  <c r="AL36" i="11" s="1"/>
  <c r="AM36" i="11" s="1"/>
  <c r="AN36" i="11" s="1"/>
  <c r="AO36" i="11" s="1"/>
  <c r="AP36" i="11" s="1"/>
  <c r="AQ36" i="11" s="1"/>
  <c r="AR36" i="11" s="1"/>
  <c r="AS36" i="11" s="1"/>
  <c r="AT36" i="11" s="1"/>
  <c r="AU36" i="11" s="1"/>
  <c r="AV36" i="11" s="1"/>
  <c r="AW36" i="11" s="1"/>
  <c r="AX36" i="11" s="1"/>
  <c r="AY36" i="11" s="1"/>
  <c r="AZ36" i="11" s="1"/>
  <c r="BA36" i="11" s="1"/>
  <c r="BB36" i="11" s="1"/>
  <c r="BC36" i="11" s="1"/>
  <c r="BD36" i="11" s="1"/>
  <c r="BE36" i="11" s="1"/>
  <c r="BF36" i="11" s="1"/>
  <c r="BG36" i="11" s="1"/>
  <c r="BH36" i="11" s="1"/>
  <c r="BI36" i="11" s="1"/>
  <c r="BJ36" i="11" s="1"/>
  <c r="BK36" i="11" s="1"/>
  <c r="BL36" i="11" s="1"/>
  <c r="BM36" i="11" s="1"/>
  <c r="BN36" i="11" s="1"/>
  <c r="BO36" i="11" s="1"/>
  <c r="BP36" i="11" s="1"/>
  <c r="BQ36" i="11" s="1"/>
  <c r="BR36" i="11" s="1"/>
  <c r="BS36" i="11" s="1"/>
  <c r="BT36" i="11" s="1"/>
  <c r="BU36" i="11" s="1"/>
  <c r="BV36" i="11" s="1"/>
  <c r="BW36" i="11" s="1"/>
  <c r="BX36" i="11" s="1"/>
  <c r="BY36" i="11" s="1"/>
  <c r="BZ36" i="11" s="1"/>
  <c r="CA36" i="11" s="1"/>
  <c r="CB36" i="11" s="1"/>
  <c r="CC36" i="11" s="1"/>
  <c r="CD36" i="11" s="1"/>
  <c r="CE36" i="11" s="1"/>
  <c r="CF36" i="11" s="1"/>
  <c r="CG36" i="11" s="1"/>
  <c r="CH36" i="11" s="1"/>
  <c r="CI36" i="11" s="1"/>
  <c r="CJ36" i="11" s="1"/>
  <c r="CK36" i="11" s="1"/>
  <c r="CL36" i="11" s="1"/>
  <c r="CM36" i="11" s="1"/>
  <c r="CN36" i="11" s="1"/>
  <c r="CO36" i="11" s="1"/>
  <c r="CP36" i="11" s="1"/>
  <c r="CQ36" i="11" s="1"/>
  <c r="CR36" i="11" s="1"/>
  <c r="CS36" i="11" s="1"/>
  <c r="CT36" i="11" s="1"/>
  <c r="CU36" i="11" s="1"/>
  <c r="CV36" i="11" s="1"/>
  <c r="CW36" i="11" s="1"/>
  <c r="CX36" i="11" s="1"/>
  <c r="CY36" i="11" s="1"/>
  <c r="CZ36" i="11" s="1"/>
  <c r="DA36" i="11" s="1"/>
  <c r="DB36" i="11" s="1"/>
  <c r="DC36" i="11" s="1"/>
  <c r="DD36" i="11" s="1"/>
  <c r="DE36" i="11" s="1"/>
  <c r="DF36" i="11" s="1"/>
  <c r="DG36" i="11" s="1"/>
  <c r="DH36" i="11" s="1"/>
  <c r="DI36" i="11" s="1"/>
  <c r="DJ36" i="11" s="1"/>
  <c r="DK36" i="11" s="1"/>
  <c r="DL36" i="11" s="1"/>
  <c r="Y34" i="11"/>
  <c r="AJ34" i="11" s="1"/>
  <c r="AK34" i="11" s="1"/>
  <c r="AL34" i="11" s="1"/>
  <c r="AM34" i="11" s="1"/>
  <c r="AN34" i="11" s="1"/>
  <c r="AO34" i="11" s="1"/>
  <c r="AP34" i="11" s="1"/>
  <c r="AQ34" i="11" s="1"/>
  <c r="AR34" i="11" s="1"/>
  <c r="AS34" i="11" s="1"/>
  <c r="AT34" i="11" s="1"/>
  <c r="AU34" i="11" s="1"/>
  <c r="AV34" i="11" s="1"/>
  <c r="AW34" i="11" s="1"/>
  <c r="AX34" i="11" s="1"/>
  <c r="AY34" i="11" s="1"/>
  <c r="AZ34" i="11" s="1"/>
  <c r="BA34" i="11" s="1"/>
  <c r="BB34" i="11" s="1"/>
  <c r="BC34" i="11" s="1"/>
  <c r="BD34" i="11" s="1"/>
  <c r="BE34" i="11" s="1"/>
  <c r="BF34" i="11" s="1"/>
  <c r="BG34" i="11" s="1"/>
  <c r="BH34" i="11" s="1"/>
  <c r="BI34" i="11" s="1"/>
  <c r="BJ34" i="11" s="1"/>
  <c r="BK34" i="11" s="1"/>
  <c r="BL34" i="11" s="1"/>
  <c r="BM34" i="11" s="1"/>
  <c r="BN34" i="11" s="1"/>
  <c r="BO34" i="11" s="1"/>
  <c r="BP34" i="11" s="1"/>
  <c r="BQ34" i="11" s="1"/>
  <c r="BR34" i="11" s="1"/>
  <c r="BS34" i="11" s="1"/>
  <c r="BT34" i="11" s="1"/>
  <c r="BU34" i="11" s="1"/>
  <c r="BV34" i="11" s="1"/>
  <c r="BW34" i="11" s="1"/>
  <c r="BX34" i="11" s="1"/>
  <c r="BY34" i="11" s="1"/>
  <c r="BZ34" i="11" s="1"/>
  <c r="CA34" i="11" s="1"/>
  <c r="CB34" i="11" s="1"/>
  <c r="CC34" i="11" s="1"/>
  <c r="CD34" i="11" s="1"/>
  <c r="CE34" i="11" s="1"/>
  <c r="CF34" i="11" s="1"/>
  <c r="CG34" i="11" s="1"/>
  <c r="CH34" i="11" s="1"/>
  <c r="CI34" i="11" s="1"/>
  <c r="CJ34" i="11" s="1"/>
  <c r="CK34" i="11" s="1"/>
  <c r="CL34" i="11" s="1"/>
  <c r="CM34" i="11" s="1"/>
  <c r="CN34" i="11" s="1"/>
  <c r="CO34" i="11" s="1"/>
  <c r="CP34" i="11" s="1"/>
  <c r="CQ34" i="11" s="1"/>
  <c r="CR34" i="11" s="1"/>
  <c r="CS34" i="11" s="1"/>
  <c r="CT34" i="11" s="1"/>
  <c r="CU34" i="11" s="1"/>
  <c r="CV34" i="11" s="1"/>
  <c r="CW34" i="11" s="1"/>
  <c r="CX34" i="11" s="1"/>
  <c r="CY34" i="11" s="1"/>
  <c r="CZ34" i="11" s="1"/>
  <c r="DA34" i="11" s="1"/>
  <c r="DB34" i="11" s="1"/>
  <c r="DC34" i="11" s="1"/>
  <c r="DD34" i="11" s="1"/>
  <c r="DE34" i="11" s="1"/>
  <c r="DF34" i="11" s="1"/>
  <c r="DG34" i="11" s="1"/>
  <c r="DH34" i="11" s="1"/>
  <c r="DI34" i="11" s="1"/>
  <c r="DJ34" i="11" s="1"/>
  <c r="DK34" i="11" s="1"/>
  <c r="DL34" i="11" s="1"/>
  <c r="Y29" i="11"/>
  <c r="AJ29" i="11" s="1"/>
  <c r="AK29" i="11" s="1"/>
  <c r="AL29" i="11" s="1"/>
  <c r="AM29" i="11" s="1"/>
  <c r="AN29" i="11" s="1"/>
  <c r="AO29" i="11" s="1"/>
  <c r="AP29" i="11" s="1"/>
  <c r="AQ29" i="11" s="1"/>
  <c r="AR29" i="11" s="1"/>
  <c r="AS29" i="11" s="1"/>
  <c r="AT29" i="11" s="1"/>
  <c r="AU29" i="11" s="1"/>
  <c r="AV29" i="11" s="1"/>
  <c r="AW29" i="11" s="1"/>
  <c r="AX29" i="11" s="1"/>
  <c r="AY29" i="11" s="1"/>
  <c r="AZ29" i="11" s="1"/>
  <c r="BA29" i="11" s="1"/>
  <c r="BB29" i="11" s="1"/>
  <c r="BC29" i="11" s="1"/>
  <c r="Y4" i="11"/>
  <c r="AJ4" i="11" s="1"/>
  <c r="AK4" i="11" s="1"/>
  <c r="AL4" i="11" s="1"/>
  <c r="AM4" i="11" s="1"/>
  <c r="AN4" i="11" s="1"/>
  <c r="AO4" i="11" s="1"/>
  <c r="AP4" i="11" s="1"/>
  <c r="AQ4" i="11" s="1"/>
  <c r="AR4" i="11" s="1"/>
  <c r="AS4" i="11" s="1"/>
  <c r="AT4" i="11" s="1"/>
  <c r="AU4" i="11" s="1"/>
  <c r="AV4" i="11" s="1"/>
  <c r="AW4" i="11" s="1"/>
  <c r="AX4" i="11" s="1"/>
  <c r="AY4" i="11" s="1"/>
  <c r="AZ4" i="11" s="1"/>
  <c r="BA4" i="11" s="1"/>
  <c r="BB4" i="11" s="1"/>
  <c r="BC4" i="11" s="1"/>
  <c r="Y42" i="11"/>
  <c r="AJ42" i="11" s="1"/>
  <c r="AK42" i="11" s="1"/>
  <c r="AL42" i="11" s="1"/>
  <c r="AM42" i="11" s="1"/>
  <c r="AN42" i="11" s="1"/>
  <c r="AO42" i="11" s="1"/>
  <c r="AP42" i="11" s="1"/>
  <c r="AQ42" i="11" s="1"/>
  <c r="AR42" i="11" s="1"/>
  <c r="AS42" i="11" s="1"/>
  <c r="AT42" i="11" s="1"/>
  <c r="AU42" i="11" s="1"/>
  <c r="AV42" i="11" s="1"/>
  <c r="AW42" i="11" s="1"/>
  <c r="AX42" i="11" s="1"/>
  <c r="AY42" i="11" s="1"/>
  <c r="AZ42" i="11" s="1"/>
  <c r="BA42" i="11" s="1"/>
  <c r="BB42" i="11" s="1"/>
  <c r="BC42" i="11" s="1"/>
  <c r="BD42" i="11" s="1"/>
  <c r="BE42" i="11" s="1"/>
  <c r="BF42" i="11" s="1"/>
  <c r="BG42" i="11" s="1"/>
  <c r="BH42" i="11" s="1"/>
  <c r="BI42" i="11" s="1"/>
  <c r="BJ42" i="11" s="1"/>
  <c r="BK42" i="11" s="1"/>
  <c r="BL42" i="11" s="1"/>
  <c r="BM42" i="11" s="1"/>
  <c r="BN42" i="11" s="1"/>
  <c r="BO42" i="11" s="1"/>
  <c r="BP42" i="11" s="1"/>
  <c r="BQ42" i="11" s="1"/>
  <c r="BR42" i="11" s="1"/>
  <c r="BS42" i="11" s="1"/>
  <c r="BT42" i="11" s="1"/>
  <c r="BU42" i="11" s="1"/>
  <c r="BV42" i="11" s="1"/>
  <c r="BW42" i="11" s="1"/>
  <c r="BX42" i="11" s="1"/>
  <c r="BY42" i="11" s="1"/>
  <c r="BZ42" i="11" s="1"/>
  <c r="CA42" i="11" s="1"/>
  <c r="CB42" i="11" s="1"/>
  <c r="CC42" i="11" s="1"/>
  <c r="CD42" i="11" s="1"/>
  <c r="CE42" i="11" s="1"/>
  <c r="CF42" i="11" s="1"/>
  <c r="CG42" i="11" s="1"/>
  <c r="CH42" i="11" s="1"/>
  <c r="CI42" i="11" s="1"/>
  <c r="CJ42" i="11" s="1"/>
  <c r="CK42" i="11" s="1"/>
  <c r="CL42" i="11" s="1"/>
  <c r="CM42" i="11" s="1"/>
  <c r="CN42" i="11" s="1"/>
  <c r="CO42" i="11" s="1"/>
  <c r="CP42" i="11" s="1"/>
  <c r="CQ42" i="11" s="1"/>
  <c r="CR42" i="11" s="1"/>
  <c r="CS42" i="11" s="1"/>
  <c r="CT42" i="11" s="1"/>
  <c r="CU42" i="11" s="1"/>
  <c r="CV42" i="11" s="1"/>
  <c r="CW42" i="11" s="1"/>
  <c r="CX42" i="11" s="1"/>
  <c r="CY42" i="11" s="1"/>
  <c r="CZ42" i="11" s="1"/>
  <c r="DA42" i="11" s="1"/>
  <c r="DB42" i="11" s="1"/>
  <c r="DC42" i="11" s="1"/>
  <c r="DD42" i="11" s="1"/>
  <c r="DE42" i="11" s="1"/>
  <c r="DF42" i="11" s="1"/>
  <c r="DG42" i="11" s="1"/>
  <c r="DH42" i="11" s="1"/>
  <c r="DI42" i="11" s="1"/>
  <c r="DJ42" i="11" s="1"/>
  <c r="DK42" i="11" s="1"/>
  <c r="DL42" i="11" s="1"/>
  <c r="Y37" i="11"/>
  <c r="AJ37" i="11" s="1"/>
  <c r="AK37" i="11" s="1"/>
  <c r="AL37" i="11" s="1"/>
  <c r="AM37" i="11" s="1"/>
  <c r="AN37" i="11" s="1"/>
  <c r="AO37" i="11" s="1"/>
  <c r="AP37" i="11" s="1"/>
  <c r="AQ37" i="11" s="1"/>
  <c r="AR37" i="11" s="1"/>
  <c r="AS37" i="11" s="1"/>
  <c r="AT37" i="11" s="1"/>
  <c r="AU37" i="11" s="1"/>
  <c r="AV37" i="11" s="1"/>
  <c r="AW37" i="11" s="1"/>
  <c r="AX37" i="11" s="1"/>
  <c r="AY37" i="11" s="1"/>
  <c r="AZ37" i="11" s="1"/>
  <c r="BA37" i="11" s="1"/>
  <c r="BB37" i="11" s="1"/>
  <c r="BC37" i="11" s="1"/>
  <c r="BD37" i="11" s="1"/>
  <c r="BE37" i="11" s="1"/>
  <c r="BF37" i="11" s="1"/>
  <c r="BG37" i="11" s="1"/>
  <c r="BH37" i="11" s="1"/>
  <c r="BI37" i="11" s="1"/>
  <c r="BJ37" i="11" s="1"/>
  <c r="BK37" i="11" s="1"/>
  <c r="BL37" i="11" s="1"/>
  <c r="BM37" i="11" s="1"/>
  <c r="BN37" i="11" s="1"/>
  <c r="BO37" i="11" s="1"/>
  <c r="BP37" i="11" s="1"/>
  <c r="BQ37" i="11" s="1"/>
  <c r="BR37" i="11" s="1"/>
  <c r="BS37" i="11" s="1"/>
  <c r="BT37" i="11" s="1"/>
  <c r="BU37" i="11" s="1"/>
  <c r="BV37" i="11" s="1"/>
  <c r="BW37" i="11" s="1"/>
  <c r="BX37" i="11" s="1"/>
  <c r="BY37" i="11" s="1"/>
  <c r="BZ37" i="11" s="1"/>
  <c r="CA37" i="11" s="1"/>
  <c r="CB37" i="11" s="1"/>
  <c r="CC37" i="11" s="1"/>
  <c r="CD37" i="11" s="1"/>
  <c r="CE37" i="11" s="1"/>
  <c r="CF37" i="11" s="1"/>
  <c r="CG37" i="11" s="1"/>
  <c r="CH37" i="11" s="1"/>
  <c r="CI37" i="11" s="1"/>
  <c r="CJ37" i="11" s="1"/>
  <c r="CK37" i="11" s="1"/>
  <c r="CL37" i="11" s="1"/>
  <c r="CM37" i="11" s="1"/>
  <c r="CN37" i="11" s="1"/>
  <c r="CO37" i="11" s="1"/>
  <c r="CP37" i="11" s="1"/>
  <c r="CQ37" i="11" s="1"/>
  <c r="CR37" i="11" s="1"/>
  <c r="CS37" i="11" s="1"/>
  <c r="CT37" i="11" s="1"/>
  <c r="CU37" i="11" s="1"/>
  <c r="CV37" i="11" s="1"/>
  <c r="CW37" i="11" s="1"/>
  <c r="CX37" i="11" s="1"/>
  <c r="CY37" i="11" s="1"/>
  <c r="CZ37" i="11" s="1"/>
  <c r="DA37" i="11" s="1"/>
  <c r="DB37" i="11" s="1"/>
  <c r="DC37" i="11" s="1"/>
  <c r="DD37" i="11" s="1"/>
  <c r="DE37" i="11" s="1"/>
  <c r="DF37" i="11" s="1"/>
  <c r="DG37" i="11" s="1"/>
  <c r="DH37" i="11" s="1"/>
  <c r="DI37" i="11" s="1"/>
  <c r="DJ37" i="11" s="1"/>
  <c r="DK37" i="11" s="1"/>
  <c r="DL37" i="11" s="1"/>
  <c r="Y22" i="11"/>
  <c r="AJ22" i="11" s="1"/>
  <c r="AK22" i="11" s="1"/>
  <c r="AL22" i="11" s="1"/>
  <c r="AM22" i="11" s="1"/>
  <c r="AN22" i="11" s="1"/>
  <c r="AO22" i="11" s="1"/>
  <c r="AP22" i="11" s="1"/>
  <c r="AQ22" i="11" s="1"/>
  <c r="AR22" i="11" s="1"/>
  <c r="AS22" i="11" s="1"/>
  <c r="AT22" i="11" s="1"/>
  <c r="AU22" i="11" s="1"/>
  <c r="AV22" i="11" s="1"/>
  <c r="AW22" i="11" s="1"/>
  <c r="AX22" i="11" s="1"/>
  <c r="AY22" i="11" s="1"/>
  <c r="AZ22" i="11" s="1"/>
  <c r="BA22" i="11" s="1"/>
  <c r="BB22" i="11" s="1"/>
  <c r="BC22" i="11" s="1"/>
  <c r="BD22" i="11" s="1"/>
  <c r="BE22" i="11" s="1"/>
  <c r="BF22" i="11" s="1"/>
  <c r="BG22" i="11" s="1"/>
  <c r="BH22" i="11" s="1"/>
  <c r="BI22" i="11" s="1"/>
  <c r="BJ22" i="11" s="1"/>
  <c r="BK22" i="11" s="1"/>
  <c r="BL22" i="11" s="1"/>
  <c r="BM22" i="11" s="1"/>
  <c r="BN22" i="11" s="1"/>
  <c r="BO22" i="11" s="1"/>
  <c r="BP22" i="11" s="1"/>
  <c r="BQ22" i="11" s="1"/>
  <c r="BR22" i="11" s="1"/>
  <c r="BS22" i="11" s="1"/>
  <c r="BT22" i="11" s="1"/>
  <c r="BU22" i="11" s="1"/>
  <c r="BV22" i="11" s="1"/>
  <c r="BW22" i="11" s="1"/>
  <c r="BX22" i="11" s="1"/>
  <c r="BY22" i="11" s="1"/>
  <c r="BZ22" i="11" s="1"/>
  <c r="CA22" i="11" s="1"/>
  <c r="CB22" i="11" s="1"/>
  <c r="CC22" i="11" s="1"/>
  <c r="CD22" i="11" s="1"/>
  <c r="CE22" i="11" s="1"/>
  <c r="CF22" i="11" s="1"/>
  <c r="CG22" i="11" s="1"/>
  <c r="CH22" i="11" s="1"/>
  <c r="CI22" i="11" s="1"/>
  <c r="CJ22" i="11" s="1"/>
  <c r="CK22" i="11" s="1"/>
  <c r="CL22" i="11" s="1"/>
  <c r="CM22" i="11" s="1"/>
  <c r="CN22" i="11" s="1"/>
  <c r="CO22" i="11" s="1"/>
  <c r="CP22" i="11" s="1"/>
  <c r="CQ22" i="11" s="1"/>
  <c r="CR22" i="11" s="1"/>
  <c r="CS22" i="11" s="1"/>
  <c r="CT22" i="11" s="1"/>
  <c r="CU22" i="11" s="1"/>
  <c r="CV22" i="11" s="1"/>
  <c r="CW22" i="11" s="1"/>
  <c r="CX22" i="11" s="1"/>
  <c r="CY22" i="11" s="1"/>
  <c r="CZ22" i="11" s="1"/>
  <c r="DA22" i="11" s="1"/>
  <c r="DB22" i="11" s="1"/>
  <c r="DC22" i="11" s="1"/>
  <c r="DD22" i="11" s="1"/>
  <c r="DE22" i="11" s="1"/>
  <c r="DF22" i="11" s="1"/>
  <c r="DG22" i="11" s="1"/>
  <c r="DH22" i="11" s="1"/>
  <c r="DI22" i="11" s="1"/>
  <c r="DJ22" i="11" s="1"/>
  <c r="DK22" i="11" s="1"/>
  <c r="DL22" i="11" s="1"/>
  <c r="Y32" i="11"/>
  <c r="AJ32" i="11" s="1"/>
  <c r="AK32" i="11" s="1"/>
  <c r="AL32" i="11" s="1"/>
  <c r="AM32" i="11" s="1"/>
  <c r="AN32" i="11" s="1"/>
  <c r="AO32" i="11" s="1"/>
  <c r="AP32" i="11" s="1"/>
  <c r="AQ32" i="11" s="1"/>
  <c r="AR32" i="11" s="1"/>
  <c r="AS32" i="11" s="1"/>
  <c r="AT32" i="11" s="1"/>
  <c r="AU32" i="11" s="1"/>
  <c r="AV32" i="11" s="1"/>
  <c r="AW32" i="11" s="1"/>
  <c r="AX32" i="11" s="1"/>
  <c r="AY32" i="11" s="1"/>
  <c r="AZ32" i="11" s="1"/>
  <c r="BA32" i="11" s="1"/>
  <c r="BB32" i="11" s="1"/>
  <c r="BC32" i="11" s="1"/>
  <c r="BD32" i="11" s="1"/>
  <c r="BE32" i="11" s="1"/>
  <c r="BF32" i="11" s="1"/>
  <c r="BG32" i="11" s="1"/>
  <c r="BH32" i="11" s="1"/>
  <c r="BI32" i="11" s="1"/>
  <c r="BJ32" i="11" s="1"/>
  <c r="BK32" i="11" s="1"/>
  <c r="BL32" i="11" s="1"/>
  <c r="BM32" i="11" s="1"/>
  <c r="BN32" i="11" s="1"/>
  <c r="BO32" i="11" s="1"/>
  <c r="BP32" i="11" s="1"/>
  <c r="BQ32" i="11" s="1"/>
  <c r="BR32" i="11" s="1"/>
  <c r="BS32" i="11" s="1"/>
  <c r="BT32" i="11" s="1"/>
  <c r="BU32" i="11" s="1"/>
  <c r="BV32" i="11" s="1"/>
  <c r="BW32" i="11" s="1"/>
  <c r="BX32" i="11" s="1"/>
  <c r="BY32" i="11" s="1"/>
  <c r="BZ32" i="11" s="1"/>
  <c r="CA32" i="11" s="1"/>
  <c r="CB32" i="11" s="1"/>
  <c r="CC32" i="11" s="1"/>
  <c r="CD32" i="11" s="1"/>
  <c r="CE32" i="11" s="1"/>
  <c r="CF32" i="11" s="1"/>
  <c r="CG32" i="11" s="1"/>
  <c r="CH32" i="11" s="1"/>
  <c r="CI32" i="11" s="1"/>
  <c r="CJ32" i="11" s="1"/>
  <c r="CK32" i="11" s="1"/>
  <c r="CL32" i="11" s="1"/>
  <c r="CM32" i="11" s="1"/>
  <c r="CN32" i="11" s="1"/>
  <c r="CO32" i="11" s="1"/>
  <c r="CP32" i="11" s="1"/>
  <c r="CQ32" i="11" s="1"/>
  <c r="CR32" i="11" s="1"/>
  <c r="CS32" i="11" s="1"/>
  <c r="CT32" i="11" s="1"/>
  <c r="CU32" i="11" s="1"/>
  <c r="CV32" i="11" s="1"/>
  <c r="CW32" i="11" s="1"/>
  <c r="CX32" i="11" s="1"/>
  <c r="CY32" i="11" s="1"/>
  <c r="CZ32" i="11" s="1"/>
  <c r="DA32" i="11" s="1"/>
  <c r="DB32" i="11" s="1"/>
  <c r="DC32" i="11" s="1"/>
  <c r="DD32" i="11" s="1"/>
  <c r="DE32" i="11" s="1"/>
  <c r="DF32" i="11" s="1"/>
  <c r="DG32" i="11" s="1"/>
  <c r="DH32" i="11" s="1"/>
  <c r="DI32" i="11" s="1"/>
  <c r="DJ32" i="11" s="1"/>
  <c r="DK32" i="11" s="1"/>
  <c r="DL32" i="11" s="1"/>
  <c r="Y7" i="11"/>
  <c r="AJ7" i="11" s="1"/>
  <c r="AK7" i="11" s="1"/>
  <c r="AL7" i="11" s="1"/>
  <c r="AM7" i="11" s="1"/>
  <c r="AN7" i="11" s="1"/>
  <c r="AO7" i="11" s="1"/>
  <c r="AP7" i="11" s="1"/>
  <c r="AQ7" i="11" s="1"/>
  <c r="AR7" i="11" s="1"/>
  <c r="AS7" i="11" s="1"/>
  <c r="AT7" i="11" s="1"/>
  <c r="AU7" i="11" s="1"/>
  <c r="AV7" i="11" s="1"/>
  <c r="AW7" i="11" s="1"/>
  <c r="AX7" i="11" s="1"/>
  <c r="AY7" i="11" s="1"/>
  <c r="AZ7" i="11" s="1"/>
  <c r="BA7" i="11" s="1"/>
  <c r="BB7" i="11" s="1"/>
  <c r="BC7" i="11" s="1"/>
  <c r="Y33" i="11"/>
  <c r="AJ33" i="11" s="1"/>
  <c r="AK33" i="11" s="1"/>
  <c r="AL33" i="11" s="1"/>
  <c r="AM33" i="11" s="1"/>
  <c r="AN33" i="11" s="1"/>
  <c r="AO33" i="11" s="1"/>
  <c r="AP33" i="11" s="1"/>
  <c r="AQ33" i="11" s="1"/>
  <c r="AR33" i="11" s="1"/>
  <c r="AS33" i="11" s="1"/>
  <c r="AT33" i="11" s="1"/>
  <c r="AU33" i="11" s="1"/>
  <c r="AV33" i="11" s="1"/>
  <c r="AW33" i="11" s="1"/>
  <c r="AX33" i="11" s="1"/>
  <c r="AY33" i="11" s="1"/>
  <c r="AZ33" i="11" s="1"/>
  <c r="BA33" i="11" s="1"/>
  <c r="BB33" i="11" s="1"/>
  <c r="BC33" i="11" s="1"/>
  <c r="BD33" i="11" s="1"/>
  <c r="BE33" i="11" s="1"/>
  <c r="BF33" i="11" s="1"/>
  <c r="BG33" i="11" s="1"/>
  <c r="BH33" i="11" s="1"/>
  <c r="BI33" i="11" s="1"/>
  <c r="BJ33" i="11" s="1"/>
  <c r="BK33" i="11" s="1"/>
  <c r="BL33" i="11" s="1"/>
  <c r="BM33" i="11" s="1"/>
  <c r="BN33" i="11" s="1"/>
  <c r="BO33" i="11" s="1"/>
  <c r="BP33" i="11" s="1"/>
  <c r="BQ33" i="11" s="1"/>
  <c r="BR33" i="11" s="1"/>
  <c r="BS33" i="11" s="1"/>
  <c r="BT33" i="11" s="1"/>
  <c r="BU33" i="11" s="1"/>
  <c r="BV33" i="11" s="1"/>
  <c r="BW33" i="11" s="1"/>
  <c r="BX33" i="11" s="1"/>
  <c r="BY33" i="11" s="1"/>
  <c r="BZ33" i="11" s="1"/>
  <c r="CA33" i="11" s="1"/>
  <c r="CB33" i="11" s="1"/>
  <c r="CC33" i="11" s="1"/>
  <c r="CD33" i="11" s="1"/>
  <c r="CE33" i="11" s="1"/>
  <c r="CF33" i="11" s="1"/>
  <c r="CG33" i="11" s="1"/>
  <c r="CH33" i="11" s="1"/>
  <c r="CI33" i="11" s="1"/>
  <c r="CJ33" i="11" s="1"/>
  <c r="CK33" i="11" s="1"/>
  <c r="CL33" i="11" s="1"/>
  <c r="CM33" i="11" s="1"/>
  <c r="CN33" i="11" s="1"/>
  <c r="CO33" i="11" s="1"/>
  <c r="CP33" i="11" s="1"/>
  <c r="CQ33" i="11" s="1"/>
  <c r="CR33" i="11" s="1"/>
  <c r="CS33" i="11" s="1"/>
  <c r="CT33" i="11" s="1"/>
  <c r="CU33" i="11" s="1"/>
  <c r="CV33" i="11" s="1"/>
  <c r="CW33" i="11" s="1"/>
  <c r="CX33" i="11" s="1"/>
  <c r="CY33" i="11" s="1"/>
  <c r="CZ33" i="11" s="1"/>
  <c r="DA33" i="11" s="1"/>
  <c r="DB33" i="11" s="1"/>
  <c r="DC33" i="11" s="1"/>
  <c r="DD33" i="11" s="1"/>
  <c r="DE33" i="11" s="1"/>
  <c r="DF33" i="11" s="1"/>
  <c r="DG33" i="11" s="1"/>
  <c r="DH33" i="11" s="1"/>
  <c r="DI33" i="11" s="1"/>
  <c r="DJ33" i="11" s="1"/>
  <c r="DK33" i="11" s="1"/>
  <c r="DL33" i="11" s="1"/>
  <c r="Y44" i="11"/>
  <c r="BY8" i="27" l="1"/>
  <c r="BY9" i="27" s="1"/>
  <c r="BY10" i="27" s="1"/>
  <c r="BY11" i="27" s="1"/>
  <c r="BY12" i="27" s="1"/>
  <c r="BY13" i="27" s="1"/>
  <c r="BY14" i="27" s="1"/>
  <c r="BY15" i="27" s="1"/>
  <c r="BY16" i="27" s="1"/>
  <c r="BY17" i="27" s="1"/>
  <c r="BY18" i="27" s="1"/>
  <c r="BY19" i="27" s="1"/>
  <c r="BY20" i="27" s="1"/>
  <c r="BY21" i="27" s="1"/>
  <c r="BY22" i="27" s="1"/>
  <c r="BY23" i="27" s="1"/>
  <c r="BY24" i="27" s="1"/>
  <c r="BY25" i="27" s="1"/>
  <c r="BY26" i="27" s="1"/>
  <c r="BY27" i="27" s="1"/>
  <c r="BY28" i="27" s="1"/>
  <c r="BY29" i="27" s="1"/>
  <c r="BY30" i="27" s="1"/>
  <c r="BY31" i="27" s="1"/>
  <c r="BY32" i="27" s="1"/>
  <c r="BY33" i="27" s="1"/>
  <c r="BY34" i="27" s="1"/>
  <c r="BY35" i="27" s="1"/>
  <c r="BY36" i="27" s="1"/>
  <c r="BY37" i="27" s="1"/>
  <c r="BY38" i="27" s="1"/>
  <c r="BY39" i="27" s="1"/>
  <c r="BY40" i="27" s="1"/>
  <c r="BY41" i="27" s="1"/>
  <c r="BY42" i="27" s="1"/>
  <c r="BY43" i="27" s="1"/>
  <c r="BY44" i="27" s="1"/>
  <c r="BY45" i="27" s="1"/>
  <c r="BY46" i="27" s="1"/>
  <c r="BY47" i="27" s="1"/>
  <c r="BY48" i="27" s="1"/>
  <c r="BY49" i="27" s="1"/>
  <c r="BY50" i="27" s="1"/>
  <c r="BY51" i="27" s="1"/>
  <c r="BY52" i="27" s="1"/>
  <c r="BY53" i="27" s="1"/>
  <c r="BY54" i="27" s="1"/>
  <c r="BY55" i="27" s="1"/>
  <c r="BY56" i="27" s="1"/>
  <c r="BY57" i="27" s="1"/>
  <c r="BY58" i="27" s="1"/>
  <c r="BY59" i="27" s="1"/>
  <c r="BY60" i="27" s="1"/>
  <c r="BY61" i="27" s="1"/>
  <c r="BY62" i="27" s="1"/>
  <c r="BY63" i="27" s="1"/>
  <c r="BY64" i="27" s="1"/>
  <c r="BY65" i="27" s="1"/>
  <c r="BY66" i="27" s="1"/>
  <c r="BY67" i="27" s="1"/>
  <c r="BY68" i="27" s="1"/>
  <c r="BY69" i="27" s="1"/>
  <c r="BY70" i="27" s="1"/>
  <c r="BY71" i="27" s="1"/>
  <c r="BY72" i="27" s="1"/>
  <c r="BY73" i="27" s="1"/>
  <c r="BY74" i="27" s="1"/>
  <c r="BY75" i="27" s="1"/>
  <c r="BY76" i="27" s="1"/>
  <c r="BY77" i="27" s="1"/>
  <c r="BY78" i="27" s="1"/>
  <c r="BY79" i="27" s="1"/>
  <c r="BY80" i="27" s="1"/>
  <c r="BY81" i="27" s="1"/>
  <c r="BY82" i="27" s="1"/>
  <c r="BY83" i="27" s="1"/>
  <c r="BY84" i="27" s="1"/>
  <c r="BY85" i="27" s="1"/>
  <c r="BY86" i="27" s="1"/>
  <c r="BY87" i="27" s="1"/>
  <c r="CC8" i="27"/>
  <c r="CC9" i="27" s="1"/>
  <c r="CC10" i="27" s="1"/>
  <c r="CC11" i="27" s="1"/>
  <c r="CC12" i="27" s="1"/>
  <c r="CC13" i="27" s="1"/>
  <c r="CC14" i="27" s="1"/>
  <c r="CC15" i="27" s="1"/>
  <c r="CC16" i="27" s="1"/>
  <c r="CC17" i="27" s="1"/>
  <c r="CC18" i="27" s="1"/>
  <c r="CC19" i="27" s="1"/>
  <c r="CC20" i="27" s="1"/>
  <c r="CC21" i="27" s="1"/>
  <c r="CC22" i="27" s="1"/>
  <c r="CC23" i="27" s="1"/>
  <c r="CC24" i="27" s="1"/>
  <c r="CC25" i="27" s="1"/>
  <c r="CC26" i="27" s="1"/>
  <c r="CC27" i="27" s="1"/>
  <c r="CC28" i="27" s="1"/>
  <c r="CC29" i="27" s="1"/>
  <c r="CC30" i="27" s="1"/>
  <c r="CC31" i="27" s="1"/>
  <c r="CC32" i="27" s="1"/>
  <c r="CC33" i="27" s="1"/>
  <c r="CC34" i="27" s="1"/>
  <c r="CC35" i="27" s="1"/>
  <c r="CC36" i="27" s="1"/>
  <c r="CC37" i="27" s="1"/>
  <c r="CC38" i="27" s="1"/>
  <c r="CC39" i="27" s="1"/>
  <c r="CC40" i="27" s="1"/>
  <c r="CC41" i="27" s="1"/>
  <c r="CC42" i="27" s="1"/>
  <c r="CC43" i="27" s="1"/>
  <c r="CC44" i="27" s="1"/>
  <c r="CC45" i="27" s="1"/>
  <c r="CC46" i="27" s="1"/>
  <c r="CC47" i="27" s="1"/>
  <c r="CC48" i="27" s="1"/>
  <c r="CC49" i="27" s="1"/>
  <c r="CC50" i="27" s="1"/>
  <c r="CC51" i="27" s="1"/>
  <c r="CC52" i="27" s="1"/>
  <c r="CC53" i="27" s="1"/>
  <c r="CC54" i="27" s="1"/>
  <c r="CC55" i="27" s="1"/>
  <c r="CC56" i="27" s="1"/>
  <c r="CC57" i="27" s="1"/>
  <c r="CC58" i="27" s="1"/>
  <c r="CC59" i="27" s="1"/>
  <c r="CC60" i="27" s="1"/>
  <c r="CC61" i="27" s="1"/>
  <c r="CC62" i="27" s="1"/>
  <c r="CC63" i="27" s="1"/>
  <c r="CC64" i="27" s="1"/>
  <c r="CC65" i="27" s="1"/>
  <c r="CC66" i="27" s="1"/>
  <c r="CC67" i="27" s="1"/>
  <c r="CC68" i="27" s="1"/>
  <c r="CC69" i="27" s="1"/>
  <c r="CC70" i="27" s="1"/>
  <c r="CC71" i="27" s="1"/>
  <c r="CC72" i="27" s="1"/>
  <c r="CC73" i="27" s="1"/>
  <c r="CC74" i="27" s="1"/>
  <c r="CC75" i="27" s="1"/>
  <c r="CC76" i="27" s="1"/>
  <c r="CC77" i="27" s="1"/>
  <c r="CC78" i="27" s="1"/>
  <c r="CC79" i="27" s="1"/>
  <c r="CC80" i="27" s="1"/>
  <c r="CC81" i="27" s="1"/>
  <c r="CC82" i="27" s="1"/>
  <c r="CC83" i="27" s="1"/>
  <c r="CC84" i="27" s="1"/>
  <c r="CC85" i="27" s="1"/>
  <c r="CC86" i="27" s="1"/>
  <c r="CC87" i="27" s="1"/>
  <c r="BQ10" i="27"/>
  <c r="AI16" i="27"/>
  <c r="AA15" i="27"/>
  <c r="AD15" i="27" s="1"/>
  <c r="U8" i="16"/>
  <c r="K16" i="27"/>
  <c r="AU37" i="27"/>
  <c r="BR13" i="16"/>
  <c r="U12" i="16"/>
  <c r="Y19" i="11"/>
  <c r="Y15" i="11"/>
  <c r="Y18" i="11"/>
  <c r="Y14" i="11"/>
  <c r="Y11" i="11"/>
  <c r="AJ11" i="11" s="1"/>
  <c r="AK11" i="11" s="1"/>
  <c r="AL11" i="11" s="1"/>
  <c r="AM11" i="11" s="1"/>
  <c r="AN11" i="11" s="1"/>
  <c r="AO11" i="11" s="1"/>
  <c r="AP11" i="11" s="1"/>
  <c r="AQ11" i="11" s="1"/>
  <c r="AR11" i="11" s="1"/>
  <c r="AS11" i="11" s="1"/>
  <c r="AT11" i="11" s="1"/>
  <c r="AU11" i="11" s="1"/>
  <c r="AV11" i="11" s="1"/>
  <c r="AW11" i="11" s="1"/>
  <c r="AX11" i="11" s="1"/>
  <c r="AY11" i="11" s="1"/>
  <c r="AZ11" i="11" s="1"/>
  <c r="BA11" i="11" s="1"/>
  <c r="BB11" i="11" s="1"/>
  <c r="BC11" i="11" s="1"/>
  <c r="BD11" i="11" s="1"/>
  <c r="BE11" i="11" s="1"/>
  <c r="BF11" i="11" s="1"/>
  <c r="BG11" i="11" s="1"/>
  <c r="BH11" i="11" s="1"/>
  <c r="BI11" i="11" s="1"/>
  <c r="BJ11" i="11" s="1"/>
  <c r="BK11" i="11" s="1"/>
  <c r="BL11" i="11" s="1"/>
  <c r="BM11" i="11" s="1"/>
  <c r="BN11" i="11" s="1"/>
  <c r="BO11" i="11" s="1"/>
  <c r="BP11" i="11" s="1"/>
  <c r="BQ11" i="11" s="1"/>
  <c r="BR11" i="11" s="1"/>
  <c r="BS11" i="11" s="1"/>
  <c r="BT11" i="11" s="1"/>
  <c r="BU11" i="11" s="1"/>
  <c r="BV11" i="11" s="1"/>
  <c r="BW11" i="11" s="1"/>
  <c r="BX11" i="11" s="1"/>
  <c r="BY11" i="11" s="1"/>
  <c r="BZ11" i="11" s="1"/>
  <c r="CA11" i="11" s="1"/>
  <c r="CB11" i="11" s="1"/>
  <c r="CC11" i="11" s="1"/>
  <c r="CD11" i="11" s="1"/>
  <c r="CE11" i="11" s="1"/>
  <c r="CF11" i="11" s="1"/>
  <c r="CG11" i="11" s="1"/>
  <c r="CH11" i="11" s="1"/>
  <c r="CI11" i="11" s="1"/>
  <c r="CJ11" i="11" s="1"/>
  <c r="CK11" i="11" s="1"/>
  <c r="CL11" i="11" s="1"/>
  <c r="CM11" i="11" s="1"/>
  <c r="CN11" i="11" s="1"/>
  <c r="CO11" i="11" s="1"/>
  <c r="CP11" i="11" s="1"/>
  <c r="CQ11" i="11" s="1"/>
  <c r="CR11" i="11" s="1"/>
  <c r="CS11" i="11" s="1"/>
  <c r="CT11" i="11" s="1"/>
  <c r="CU11" i="11" s="1"/>
  <c r="CV11" i="11" s="1"/>
  <c r="CW11" i="11" s="1"/>
  <c r="CX11" i="11" s="1"/>
  <c r="CY11" i="11" s="1"/>
  <c r="CZ11" i="11" s="1"/>
  <c r="DA11" i="11" s="1"/>
  <c r="DB11" i="11" s="1"/>
  <c r="DC11" i="11" s="1"/>
  <c r="DD11" i="11" s="1"/>
  <c r="DE11" i="11" s="1"/>
  <c r="DF11" i="11" s="1"/>
  <c r="DG11" i="11" s="1"/>
  <c r="DH11" i="11" s="1"/>
  <c r="DI11" i="11" s="1"/>
  <c r="DJ11" i="11" s="1"/>
  <c r="DK11" i="11" s="1"/>
  <c r="DL11" i="11" s="1"/>
  <c r="Y39" i="11"/>
  <c r="Y17" i="11"/>
  <c r="Y10" i="11"/>
  <c r="Y38" i="11"/>
  <c r="AJ38" i="11" s="1"/>
  <c r="AK38" i="11" s="1"/>
  <c r="AL38" i="11" s="1"/>
  <c r="AM38" i="11" s="1"/>
  <c r="AN38" i="11" s="1"/>
  <c r="AO38" i="11" s="1"/>
  <c r="AP38" i="11" s="1"/>
  <c r="AQ38" i="11" s="1"/>
  <c r="AR38" i="11" s="1"/>
  <c r="AS38" i="11" s="1"/>
  <c r="AT38" i="11" s="1"/>
  <c r="AU38" i="11" s="1"/>
  <c r="AV38" i="11" s="1"/>
  <c r="AW38" i="11" s="1"/>
  <c r="AX38" i="11" s="1"/>
  <c r="AY38" i="11" s="1"/>
  <c r="AZ38" i="11" s="1"/>
  <c r="BA38" i="11" s="1"/>
  <c r="BB38" i="11" s="1"/>
  <c r="BC38" i="11" s="1"/>
  <c r="BD38" i="11" s="1"/>
  <c r="BE38" i="11" s="1"/>
  <c r="BF38" i="11" s="1"/>
  <c r="BG38" i="11" s="1"/>
  <c r="BH38" i="11" s="1"/>
  <c r="BI38" i="11" s="1"/>
  <c r="BJ38" i="11" s="1"/>
  <c r="BK38" i="11" s="1"/>
  <c r="BL38" i="11" s="1"/>
  <c r="BM38" i="11" s="1"/>
  <c r="BN38" i="11" s="1"/>
  <c r="BO38" i="11" s="1"/>
  <c r="BP38" i="11" s="1"/>
  <c r="BQ38" i="11" s="1"/>
  <c r="BR38" i="11" s="1"/>
  <c r="BS38" i="11" s="1"/>
  <c r="BT38" i="11" s="1"/>
  <c r="BU38" i="11" s="1"/>
  <c r="BV38" i="11" s="1"/>
  <c r="BW38" i="11" s="1"/>
  <c r="BX38" i="11" s="1"/>
  <c r="BY38" i="11" s="1"/>
  <c r="BZ38" i="11" s="1"/>
  <c r="CA38" i="11" s="1"/>
  <c r="CB38" i="11" s="1"/>
  <c r="CC38" i="11" s="1"/>
  <c r="CD38" i="11" s="1"/>
  <c r="CE38" i="11" s="1"/>
  <c r="CF38" i="11" s="1"/>
  <c r="CG38" i="11" s="1"/>
  <c r="CH38" i="11" s="1"/>
  <c r="CI38" i="11" s="1"/>
  <c r="CJ38" i="11" s="1"/>
  <c r="CK38" i="11" s="1"/>
  <c r="CL38" i="11" s="1"/>
  <c r="CM38" i="11" s="1"/>
  <c r="CN38" i="11" s="1"/>
  <c r="CO38" i="11" s="1"/>
  <c r="CP38" i="11" s="1"/>
  <c r="CQ38" i="11" s="1"/>
  <c r="CR38" i="11" s="1"/>
  <c r="CS38" i="11" s="1"/>
  <c r="CT38" i="11" s="1"/>
  <c r="CU38" i="11" s="1"/>
  <c r="CV38" i="11" s="1"/>
  <c r="CW38" i="11" s="1"/>
  <c r="CX38" i="11" s="1"/>
  <c r="CY38" i="11" s="1"/>
  <c r="CZ38" i="11" s="1"/>
  <c r="DA38" i="11" s="1"/>
  <c r="DB38" i="11" s="1"/>
  <c r="DC38" i="11" s="1"/>
  <c r="DD38" i="11" s="1"/>
  <c r="DE38" i="11" s="1"/>
  <c r="DF38" i="11" s="1"/>
  <c r="DG38" i="11" s="1"/>
  <c r="DH38" i="11" s="1"/>
  <c r="DI38" i="11" s="1"/>
  <c r="DJ38" i="11" s="1"/>
  <c r="DK38" i="11" s="1"/>
  <c r="DL38" i="11" s="1"/>
  <c r="Y12" i="11"/>
  <c r="AJ12" i="11" s="1"/>
  <c r="AK12" i="11" s="1"/>
  <c r="AL12" i="11" s="1"/>
  <c r="AM12" i="11" s="1"/>
  <c r="AN12" i="11" s="1"/>
  <c r="AO12" i="11" s="1"/>
  <c r="AP12" i="11" s="1"/>
  <c r="AQ12" i="11" s="1"/>
  <c r="AR12" i="11" s="1"/>
  <c r="AS12" i="11" s="1"/>
  <c r="AT12" i="11" s="1"/>
  <c r="AU12" i="11" s="1"/>
  <c r="AV12" i="11" s="1"/>
  <c r="AW12" i="11" s="1"/>
  <c r="AX12" i="11" s="1"/>
  <c r="AY12" i="11" s="1"/>
  <c r="AZ12" i="11" s="1"/>
  <c r="BA12" i="11" s="1"/>
  <c r="BB12" i="11" s="1"/>
  <c r="BC12" i="11" s="1"/>
  <c r="BD12" i="11" s="1"/>
  <c r="BE12" i="11" s="1"/>
  <c r="BF12" i="11" s="1"/>
  <c r="BG12" i="11" s="1"/>
  <c r="BH12" i="11" s="1"/>
  <c r="BI12" i="11" s="1"/>
  <c r="BJ12" i="11" s="1"/>
  <c r="BK12" i="11" s="1"/>
  <c r="BL12" i="11" s="1"/>
  <c r="BM12" i="11" s="1"/>
  <c r="BN12" i="11" s="1"/>
  <c r="BO12" i="11" s="1"/>
  <c r="BP12" i="11" s="1"/>
  <c r="BQ12" i="11" s="1"/>
  <c r="BR12" i="11" s="1"/>
  <c r="BS12" i="11" s="1"/>
  <c r="BT12" i="11" s="1"/>
  <c r="BU12" i="11" s="1"/>
  <c r="BV12" i="11" s="1"/>
  <c r="BW12" i="11" s="1"/>
  <c r="BX12" i="11" s="1"/>
  <c r="BY12" i="11" s="1"/>
  <c r="BZ12" i="11" s="1"/>
  <c r="CA12" i="11" s="1"/>
  <c r="CB12" i="11" s="1"/>
  <c r="CC12" i="11" s="1"/>
  <c r="CD12" i="11" s="1"/>
  <c r="CE12" i="11" s="1"/>
  <c r="CF12" i="11" s="1"/>
  <c r="CG12" i="11" s="1"/>
  <c r="CH12" i="11" s="1"/>
  <c r="CI12" i="11" s="1"/>
  <c r="CJ12" i="11" s="1"/>
  <c r="CK12" i="11" s="1"/>
  <c r="CL12" i="11" s="1"/>
  <c r="CM12" i="11" s="1"/>
  <c r="CN12" i="11" s="1"/>
  <c r="CO12" i="11" s="1"/>
  <c r="CP12" i="11" s="1"/>
  <c r="CQ12" i="11" s="1"/>
  <c r="CR12" i="11" s="1"/>
  <c r="CS12" i="11" s="1"/>
  <c r="CT12" i="11" s="1"/>
  <c r="CU12" i="11" s="1"/>
  <c r="CV12" i="11" s="1"/>
  <c r="CW12" i="11" s="1"/>
  <c r="CX12" i="11" s="1"/>
  <c r="CY12" i="11" s="1"/>
  <c r="CZ12" i="11" s="1"/>
  <c r="DA12" i="11" s="1"/>
  <c r="DB12" i="11" s="1"/>
  <c r="DC12" i="11" s="1"/>
  <c r="DD12" i="11" s="1"/>
  <c r="DE12" i="11" s="1"/>
  <c r="DF12" i="11" s="1"/>
  <c r="DG12" i="11" s="1"/>
  <c r="DH12" i="11" s="1"/>
  <c r="DI12" i="11" s="1"/>
  <c r="DJ12" i="11" s="1"/>
  <c r="DK12" i="11" s="1"/>
  <c r="DL12" i="11" s="1"/>
  <c r="AG10" i="11"/>
  <c r="AC10" i="11"/>
  <c r="AF10" i="11" s="1"/>
  <c r="L5" i="31" l="1" a="1"/>
  <c r="L5" i="31" s="1"/>
  <c r="L11" i="31" s="1"/>
  <c r="AV2" i="27" a="1"/>
  <c r="AV2" i="27" s="1"/>
  <c r="AZ2" i="27" a="1"/>
  <c r="AZ2" i="27" s="1"/>
  <c r="M5" i="31" a="1"/>
  <c r="M5" i="31" s="1"/>
  <c r="CG8" i="27"/>
  <c r="CG9" i="27" s="1"/>
  <c r="AI17" i="27"/>
  <c r="AA16" i="27"/>
  <c r="AD16" i="27" s="1"/>
  <c r="BQ11" i="27"/>
  <c r="V8" i="16"/>
  <c r="K17" i="27"/>
  <c r="AU38" i="27"/>
  <c r="BS13" i="16"/>
  <c r="V12" i="16"/>
  <c r="AZ61" i="27" l="1"/>
  <c r="AL61" i="27" s="1"/>
  <c r="AZ21" i="27"/>
  <c r="AL21" i="27" s="1"/>
  <c r="AZ36" i="27"/>
  <c r="AL36" i="27" s="1"/>
  <c r="AZ11" i="27"/>
  <c r="AL11" i="27" s="1"/>
  <c r="AZ13" i="27"/>
  <c r="AL13" i="27" s="1"/>
  <c r="AZ12" i="27"/>
  <c r="AL12" i="27" s="1"/>
  <c r="AZ10" i="27"/>
  <c r="AL10" i="27" s="1"/>
  <c r="AZ47" i="27"/>
  <c r="AL47" i="27" s="1"/>
  <c r="AZ79" i="27"/>
  <c r="AL79" i="27" s="1"/>
  <c r="AZ87" i="27"/>
  <c r="AL87" i="27" s="1"/>
  <c r="AZ15" i="27"/>
  <c r="AL15" i="27" s="1"/>
  <c r="AZ28" i="27"/>
  <c r="AL28" i="27" s="1"/>
  <c r="AZ44" i="27"/>
  <c r="AL44" i="27" s="1"/>
  <c r="AZ68" i="27"/>
  <c r="AL68" i="27" s="1"/>
  <c r="AZ39" i="27"/>
  <c r="AL39" i="27" s="1"/>
  <c r="AZ24" i="27"/>
  <c r="AL24" i="27" s="1"/>
  <c r="AZ80" i="27"/>
  <c r="AL80" i="27" s="1"/>
  <c r="AZ84" i="27"/>
  <c r="AL84" i="27" s="1"/>
  <c r="AZ53" i="27"/>
  <c r="AL53" i="27" s="1"/>
  <c r="AZ34" i="27"/>
  <c r="AL34" i="27" s="1"/>
  <c r="AZ70" i="27"/>
  <c r="AL70" i="27" s="1"/>
  <c r="AZ81" i="27"/>
  <c r="AL81" i="27" s="1"/>
  <c r="AZ59" i="27"/>
  <c r="AL59" i="27" s="1"/>
  <c r="AZ37" i="27"/>
  <c r="AL37" i="27" s="1"/>
  <c r="AZ8" i="27"/>
  <c r="AL8" i="27" s="1"/>
  <c r="AZ38" i="27"/>
  <c r="AL38" i="27" s="1"/>
  <c r="AZ25" i="27"/>
  <c r="AL25" i="27" s="1"/>
  <c r="AZ49" i="27"/>
  <c r="AL49" i="27" s="1"/>
  <c r="AZ85" i="27"/>
  <c r="AL85" i="27" s="1"/>
  <c r="AZ67" i="27"/>
  <c r="AL67" i="27" s="1"/>
  <c r="AZ82" i="27"/>
  <c r="AL82" i="27" s="1"/>
  <c r="AZ75" i="27"/>
  <c r="AL75" i="27" s="1"/>
  <c r="AZ48" i="27"/>
  <c r="AL48" i="27" s="1"/>
  <c r="AZ9" i="27"/>
  <c r="AL9" i="27" s="1"/>
  <c r="AZ45" i="27"/>
  <c r="AL45" i="27" s="1"/>
  <c r="AZ57" i="27"/>
  <c r="AL57" i="27" s="1"/>
  <c r="AZ23" i="27"/>
  <c r="AL23" i="27" s="1"/>
  <c r="AZ35" i="27"/>
  <c r="AL35" i="27" s="1"/>
  <c r="AZ29" i="27"/>
  <c r="AL29" i="27" s="1"/>
  <c r="AZ76" i="27"/>
  <c r="AL76" i="27" s="1"/>
  <c r="AZ78" i="27"/>
  <c r="AL78" i="27" s="1"/>
  <c r="AZ64" i="27"/>
  <c r="AL64" i="27" s="1"/>
  <c r="AZ51" i="27"/>
  <c r="AL51" i="27" s="1"/>
  <c r="AZ50" i="27"/>
  <c r="AL50" i="27" s="1"/>
  <c r="AZ31" i="27"/>
  <c r="AL31" i="27" s="1"/>
  <c r="AZ56" i="27"/>
  <c r="AL56" i="27" s="1"/>
  <c r="AZ63" i="27"/>
  <c r="AL63" i="27" s="1"/>
  <c r="AZ30" i="27"/>
  <c r="AL30" i="27" s="1"/>
  <c r="AZ17" i="27"/>
  <c r="AL17" i="27" s="1"/>
  <c r="AZ14" i="27"/>
  <c r="AL14" i="27" s="1"/>
  <c r="AZ41" i="27"/>
  <c r="AL41" i="27" s="1"/>
  <c r="AZ86" i="27"/>
  <c r="AL86" i="27" s="1"/>
  <c r="AZ74" i="27"/>
  <c r="AL74" i="27" s="1"/>
  <c r="AZ27" i="27"/>
  <c r="AL27" i="27" s="1"/>
  <c r="AZ46" i="27"/>
  <c r="AL46" i="27" s="1"/>
  <c r="AZ22" i="27"/>
  <c r="AL22" i="27" s="1"/>
  <c r="AZ60" i="27"/>
  <c r="AL60" i="27" s="1"/>
  <c r="AZ83" i="27"/>
  <c r="AL83" i="27" s="1"/>
  <c r="AZ65" i="27"/>
  <c r="AL65" i="27" s="1"/>
  <c r="AZ40" i="27"/>
  <c r="AL40" i="27" s="1"/>
  <c r="AZ32" i="27"/>
  <c r="AL32" i="27" s="1"/>
  <c r="AZ72" i="27"/>
  <c r="AL72" i="27" s="1"/>
  <c r="AZ62" i="27"/>
  <c r="AL62" i="27" s="1"/>
  <c r="AZ33" i="27"/>
  <c r="AL33" i="27" s="1"/>
  <c r="AZ77" i="27"/>
  <c r="AL77" i="27" s="1"/>
  <c r="AZ66" i="27"/>
  <c r="AL66" i="27" s="1"/>
  <c r="AZ16" i="27"/>
  <c r="AL16" i="27" s="1"/>
  <c r="AZ42" i="27"/>
  <c r="AL42" i="27" s="1"/>
  <c r="AZ69" i="27"/>
  <c r="AL69" i="27" s="1"/>
  <c r="AZ20" i="27"/>
  <c r="AL20" i="27" s="1"/>
  <c r="AZ58" i="27"/>
  <c r="AL58" i="27" s="1"/>
  <c r="AZ7" i="27"/>
  <c r="AL7" i="27" s="1"/>
  <c r="AM7" i="27" s="1"/>
  <c r="AZ43" i="27"/>
  <c r="AL43" i="27" s="1"/>
  <c r="AZ52" i="27"/>
  <c r="AL52" i="27" s="1"/>
  <c r="AZ26" i="27"/>
  <c r="AL26" i="27" s="1"/>
  <c r="AZ73" i="27"/>
  <c r="AL73" i="27" s="1"/>
  <c r="AZ71" i="27"/>
  <c r="AL71" i="27" s="1"/>
  <c r="AZ19" i="27"/>
  <c r="AL19" i="27" s="1"/>
  <c r="AZ18" i="27"/>
  <c r="AL18" i="27" s="1"/>
  <c r="AZ55" i="27"/>
  <c r="AL55" i="27" s="1"/>
  <c r="AZ54" i="27"/>
  <c r="AL54" i="27" s="1"/>
  <c r="BC53" i="27"/>
  <c r="AO53" i="27" s="1"/>
  <c r="BC68" i="27"/>
  <c r="AO68" i="27" s="1"/>
  <c r="BC24" i="27"/>
  <c r="AO24" i="27" s="1"/>
  <c r="BC60" i="27"/>
  <c r="AO60" i="27" s="1"/>
  <c r="BC9" i="27"/>
  <c r="AO9" i="27" s="1"/>
  <c r="BC14" i="27"/>
  <c r="AO14" i="27" s="1"/>
  <c r="BC78" i="27"/>
  <c r="AO78" i="27" s="1"/>
  <c r="BB65" i="27"/>
  <c r="BB71" i="27"/>
  <c r="BB68" i="27"/>
  <c r="BB62" i="27"/>
  <c r="AW7" i="27"/>
  <c r="AW8" i="27" s="1"/>
  <c r="AW9" i="27" s="1"/>
  <c r="AW10" i="27" s="1"/>
  <c r="AW11" i="27" s="1"/>
  <c r="AW12" i="27" s="1"/>
  <c r="AW13" i="27" s="1"/>
  <c r="AW14" i="27" s="1"/>
  <c r="AW15" i="27" s="1"/>
  <c r="AW16" i="27" s="1"/>
  <c r="AW17" i="27" s="1"/>
  <c r="AW18" i="27" s="1"/>
  <c r="AW19" i="27" s="1"/>
  <c r="AW20" i="27" s="1"/>
  <c r="AW21" i="27" s="1"/>
  <c r="AW22" i="27" s="1"/>
  <c r="AW23" i="27" s="1"/>
  <c r="AW24" i="27" s="1"/>
  <c r="AW25" i="27" s="1"/>
  <c r="AW26" i="27" s="1"/>
  <c r="AW27" i="27" s="1"/>
  <c r="AW28" i="27" s="1"/>
  <c r="AW29" i="27" s="1"/>
  <c r="AW30" i="27" s="1"/>
  <c r="AW31" i="27" s="1"/>
  <c r="AW32" i="27" s="1"/>
  <c r="AW33" i="27" s="1"/>
  <c r="AW34" i="27" s="1"/>
  <c r="AW35" i="27" s="1"/>
  <c r="AW36" i="27" s="1"/>
  <c r="AW37" i="27" s="1"/>
  <c r="AW38" i="27" s="1"/>
  <c r="AW39" i="27" s="1"/>
  <c r="AW40" i="27" s="1"/>
  <c r="AW41" i="27" s="1"/>
  <c r="AW42" i="27" s="1"/>
  <c r="AW43" i="27" s="1"/>
  <c r="AW44" i="27" s="1"/>
  <c r="AW45" i="27" s="1"/>
  <c r="AW46" i="27" s="1"/>
  <c r="AW47" i="27" s="1"/>
  <c r="AW48" i="27" s="1"/>
  <c r="AW49" i="27" s="1"/>
  <c r="AW50" i="27" s="1"/>
  <c r="AW51" i="27" s="1"/>
  <c r="AW52" i="27" s="1"/>
  <c r="AW53" i="27" s="1"/>
  <c r="AW54" i="27" s="1"/>
  <c r="AW55" i="27" s="1"/>
  <c r="AW56" i="27" s="1"/>
  <c r="AW57" i="27" s="1"/>
  <c r="AW58" i="27" s="1"/>
  <c r="AW59" i="27" s="1"/>
  <c r="AW60" i="27" s="1"/>
  <c r="AW61" i="27" s="1"/>
  <c r="AW62" i="27" s="1"/>
  <c r="AW63" i="27" s="1"/>
  <c r="AW64" i="27" s="1"/>
  <c r="AW65" i="27" s="1"/>
  <c r="AW66" i="27" s="1"/>
  <c r="AW67" i="27" s="1"/>
  <c r="AW68" i="27" s="1"/>
  <c r="AW69" i="27" s="1"/>
  <c r="AW70" i="27" s="1"/>
  <c r="AW71" i="27" s="1"/>
  <c r="AW72" i="27" s="1"/>
  <c r="AW73" i="27" s="1"/>
  <c r="AW74" i="27" s="1"/>
  <c r="AW75" i="27" s="1"/>
  <c r="AW76" i="27" s="1"/>
  <c r="AW77" i="27" s="1"/>
  <c r="AW78" i="27" s="1"/>
  <c r="AW79" i="27" s="1"/>
  <c r="AW80" i="27" s="1"/>
  <c r="AW81" i="27" s="1"/>
  <c r="AW82" i="27" s="1"/>
  <c r="AW83" i="27" s="1"/>
  <c r="AW84" i="27" s="1"/>
  <c r="AW85" i="27" s="1"/>
  <c r="AW86" i="27" s="1"/>
  <c r="AW87" i="27" s="1"/>
  <c r="BB37" i="27"/>
  <c r="BB45" i="27"/>
  <c r="BC63" i="27"/>
  <c r="AO63" i="27" s="1"/>
  <c r="BC46" i="27"/>
  <c r="AO46" i="27" s="1"/>
  <c r="BC43" i="27"/>
  <c r="AO43" i="27" s="1"/>
  <c r="BC51" i="27"/>
  <c r="AO51" i="27" s="1"/>
  <c r="BB67" i="27"/>
  <c r="BC15" i="27"/>
  <c r="AO15" i="27" s="1"/>
  <c r="BB49" i="27"/>
  <c r="BB53" i="27"/>
  <c r="BC57" i="27"/>
  <c r="AO57" i="27" s="1"/>
  <c r="BC11" i="27"/>
  <c r="AO11" i="27" s="1"/>
  <c r="BC25" i="27"/>
  <c r="AO25" i="27" s="1"/>
  <c r="BB60" i="27"/>
  <c r="BB80" i="27"/>
  <c r="BB13" i="27"/>
  <c r="BB9" i="27"/>
  <c r="BB16" i="27"/>
  <c r="BC41" i="27"/>
  <c r="AO41" i="27" s="1"/>
  <c r="BC50" i="27"/>
  <c r="AO50" i="27" s="1"/>
  <c r="BC59" i="27"/>
  <c r="AO59" i="27" s="1"/>
  <c r="BB11" i="27"/>
  <c r="BB51" i="27"/>
  <c r="BC29" i="27"/>
  <c r="AO29" i="27" s="1"/>
  <c r="BC79" i="27"/>
  <c r="AO79" i="27" s="1"/>
  <c r="BC75" i="27"/>
  <c r="AO75" i="27" s="1"/>
  <c r="BC30" i="27"/>
  <c r="AO30" i="27" s="1"/>
  <c r="BC26" i="27"/>
  <c r="AO26" i="27" s="1"/>
  <c r="BC22" i="27"/>
  <c r="AO22" i="27" s="1"/>
  <c r="BC67" i="27"/>
  <c r="AO67" i="27" s="1"/>
  <c r="BB79" i="27"/>
  <c r="BB58" i="27"/>
  <c r="BB15" i="27"/>
  <c r="BB39" i="27"/>
  <c r="BB56" i="27"/>
  <c r="BC70" i="27"/>
  <c r="AO70" i="27" s="1"/>
  <c r="BC80" i="27"/>
  <c r="AO80" i="27" s="1"/>
  <c r="BC87" i="27"/>
  <c r="AO87" i="27" s="1"/>
  <c r="BC66" i="27"/>
  <c r="AO66" i="27" s="1"/>
  <c r="BC35" i="27"/>
  <c r="AO35" i="27" s="1"/>
  <c r="BC84" i="27"/>
  <c r="AO84" i="27" s="1"/>
  <c r="BC32" i="27"/>
  <c r="AO32" i="27" s="1"/>
  <c r="BB87" i="27"/>
  <c r="BB50" i="27"/>
  <c r="BB8" i="27"/>
  <c r="BB55" i="27"/>
  <c r="BB40" i="27"/>
  <c r="BA7" i="27"/>
  <c r="BC64" i="27"/>
  <c r="AO64" i="27" s="1"/>
  <c r="BC71" i="27"/>
  <c r="AO71" i="27" s="1"/>
  <c r="BC17" i="27"/>
  <c r="AO17" i="27" s="1"/>
  <c r="BC61" i="27"/>
  <c r="AO61" i="27" s="1"/>
  <c r="BC38" i="27"/>
  <c r="AO38" i="27" s="1"/>
  <c r="BC21" i="27"/>
  <c r="AO21" i="27" s="1"/>
  <c r="BC42" i="27"/>
  <c r="AO42" i="27" s="1"/>
  <c r="BC36" i="27"/>
  <c r="AO36" i="27" s="1"/>
  <c r="BC55" i="27"/>
  <c r="AO55" i="27" s="1"/>
  <c r="BC20" i="27"/>
  <c r="AO20" i="27" s="1"/>
  <c r="BC54" i="27"/>
  <c r="AO54" i="27" s="1"/>
  <c r="BC8" i="27"/>
  <c r="AO8" i="27" s="1"/>
  <c r="AP8" i="27" s="1"/>
  <c r="BB59" i="27"/>
  <c r="BB74" i="27"/>
  <c r="BB34" i="27"/>
  <c r="BB26" i="27"/>
  <c r="BB38" i="27"/>
  <c r="BB36" i="27"/>
  <c r="BB48" i="27"/>
  <c r="BB17" i="27"/>
  <c r="BB19" i="27"/>
  <c r="BC16" i="27"/>
  <c r="AO16" i="27" s="1"/>
  <c r="BC27" i="27"/>
  <c r="AO27" i="27" s="1"/>
  <c r="BC85" i="27"/>
  <c r="AO85" i="27" s="1"/>
  <c r="BC76" i="27"/>
  <c r="AO76" i="27" s="1"/>
  <c r="BC52" i="27"/>
  <c r="AO52" i="27" s="1"/>
  <c r="BC48" i="27"/>
  <c r="AO48" i="27" s="1"/>
  <c r="BC34" i="27"/>
  <c r="AO34" i="27" s="1"/>
  <c r="BB75" i="27"/>
  <c r="BB78" i="27"/>
  <c r="BB81" i="27"/>
  <c r="BB61" i="27"/>
  <c r="BB25" i="27"/>
  <c r="BB27" i="27"/>
  <c r="BB33" i="27"/>
  <c r="BB28" i="27"/>
  <c r="BB42" i="27"/>
  <c r="BC83" i="27"/>
  <c r="AO83" i="27" s="1"/>
  <c r="BC86" i="27"/>
  <c r="AO86" i="27" s="1"/>
  <c r="BC73" i="27"/>
  <c r="AO73" i="27" s="1"/>
  <c r="BC44" i="27"/>
  <c r="AO44" i="27" s="1"/>
  <c r="BB83" i="27"/>
  <c r="BB46" i="27"/>
  <c r="BB23" i="27"/>
  <c r="BC62" i="27"/>
  <c r="AO62" i="27" s="1"/>
  <c r="BC77" i="27"/>
  <c r="AO77" i="27" s="1"/>
  <c r="BC40" i="27"/>
  <c r="AO40" i="27" s="1"/>
  <c r="BC45" i="27"/>
  <c r="AO45" i="27" s="1"/>
  <c r="BC74" i="27"/>
  <c r="AO74" i="27" s="1"/>
  <c r="BC13" i="27"/>
  <c r="AO13" i="27" s="1"/>
  <c r="BB69" i="27"/>
  <c r="BB72" i="27"/>
  <c r="BB31" i="27"/>
  <c r="BB22" i="27"/>
  <c r="BB20" i="27"/>
  <c r="BB21" i="27"/>
  <c r="BB44" i="27"/>
  <c r="BB14" i="27"/>
  <c r="BB32" i="27"/>
  <c r="BC82" i="27"/>
  <c r="AO82" i="27" s="1"/>
  <c r="BC10" i="27"/>
  <c r="AO10" i="27" s="1"/>
  <c r="BB64" i="27"/>
  <c r="BB84" i="27"/>
  <c r="BB18" i="27"/>
  <c r="BB29" i="27"/>
  <c r="BB73" i="27"/>
  <c r="BB41" i="27"/>
  <c r="BC18" i="27"/>
  <c r="AO18" i="27" s="1"/>
  <c r="BC81" i="27"/>
  <c r="AO81" i="27" s="1"/>
  <c r="BC47" i="27"/>
  <c r="AO47" i="27" s="1"/>
  <c r="BB86" i="27"/>
  <c r="AV7" i="27"/>
  <c r="AJ7" i="27" s="1"/>
  <c r="BB57" i="27"/>
  <c r="BB43" i="27"/>
  <c r="BC28" i="27"/>
  <c r="AO28" i="27" s="1"/>
  <c r="BC31" i="27"/>
  <c r="AO31" i="27" s="1"/>
  <c r="BC19" i="27"/>
  <c r="AO19" i="27" s="1"/>
  <c r="BC12" i="27"/>
  <c r="AO12" i="27" s="1"/>
  <c r="BC49" i="27"/>
  <c r="AO49" i="27" s="1"/>
  <c r="BC23" i="27"/>
  <c r="AO23" i="27" s="1"/>
  <c r="BC39" i="27"/>
  <c r="AO39" i="27" s="1"/>
  <c r="BB77" i="27"/>
  <c r="BB82" i="27"/>
  <c r="BB66" i="27"/>
  <c r="BB76" i="27"/>
  <c r="BB54" i="27"/>
  <c r="BB24" i="27"/>
  <c r="BB10" i="27"/>
  <c r="BB12" i="27"/>
  <c r="BC58" i="27"/>
  <c r="AO58" i="27" s="1"/>
  <c r="BC33" i="27"/>
  <c r="AO33" i="27" s="1"/>
  <c r="BC56" i="27"/>
  <c r="AO56" i="27" s="1"/>
  <c r="BC37" i="27"/>
  <c r="AO37" i="27" s="1"/>
  <c r="BC65" i="27"/>
  <c r="AO65" i="27" s="1"/>
  <c r="BC72" i="27"/>
  <c r="AO72" i="27" s="1"/>
  <c r="BC69" i="27"/>
  <c r="AO69" i="27" s="1"/>
  <c r="BB63" i="27"/>
  <c r="BB85" i="27"/>
  <c r="BB70" i="27"/>
  <c r="BB35" i="27"/>
  <c r="BB47" i="27"/>
  <c r="BB30" i="27"/>
  <c r="BB52" i="27"/>
  <c r="L16" i="31"/>
  <c r="L15" i="31"/>
  <c r="BQ12" i="27"/>
  <c r="AI18" i="27"/>
  <c r="AA17" i="27"/>
  <c r="AD17" i="27" s="1"/>
  <c r="W8" i="16"/>
  <c r="K18" i="27"/>
  <c r="CG10" i="27"/>
  <c r="AU39" i="27"/>
  <c r="BT13" i="16"/>
  <c r="W12" i="16"/>
  <c r="AQ7" i="27" l="1"/>
  <c r="AH34" i="8" s="1"/>
  <c r="AP9" i="27"/>
  <c r="AP10" i="27" s="1"/>
  <c r="AP11" i="27" s="1"/>
  <c r="AP12" i="27" s="1"/>
  <c r="AP13" i="27" s="1"/>
  <c r="AP14" i="27" s="1"/>
  <c r="AP15" i="27" s="1"/>
  <c r="AP16" i="27" s="1"/>
  <c r="AP17" i="27" s="1"/>
  <c r="AP18" i="27" s="1"/>
  <c r="AP19" i="27" s="1"/>
  <c r="AP20" i="27" s="1"/>
  <c r="AP21" i="27" s="1"/>
  <c r="AP22" i="27" s="1"/>
  <c r="AP23" i="27" s="1"/>
  <c r="AP24" i="27" s="1"/>
  <c r="AP25" i="27" s="1"/>
  <c r="AP26" i="27" s="1"/>
  <c r="AP27" i="27" s="1"/>
  <c r="AP28" i="27" s="1"/>
  <c r="AP29" i="27" s="1"/>
  <c r="AP30" i="27" s="1"/>
  <c r="AP31" i="27" s="1"/>
  <c r="AP32" i="27" s="1"/>
  <c r="AP33" i="27" s="1"/>
  <c r="AP34" i="27" s="1"/>
  <c r="AP35" i="27" s="1"/>
  <c r="AP36" i="27" s="1"/>
  <c r="AP37" i="27" s="1"/>
  <c r="AP38" i="27" s="1"/>
  <c r="AP39" i="27" s="1"/>
  <c r="AP40" i="27" s="1"/>
  <c r="AP41" i="27" s="1"/>
  <c r="AP42" i="27" s="1"/>
  <c r="AP43" i="27" s="1"/>
  <c r="AP44" i="27" s="1"/>
  <c r="AP45" i="27" s="1"/>
  <c r="AP46" i="27" s="1"/>
  <c r="AP47" i="27" s="1"/>
  <c r="AP48" i="27" s="1"/>
  <c r="AP49" i="27" s="1"/>
  <c r="AP50" i="27" s="1"/>
  <c r="AP51" i="27" s="1"/>
  <c r="AP52" i="27" s="1"/>
  <c r="AP53" i="27" s="1"/>
  <c r="AP54" i="27" s="1"/>
  <c r="AP55" i="27" s="1"/>
  <c r="AP56" i="27" s="1"/>
  <c r="AP57" i="27" s="1"/>
  <c r="AP58" i="27" s="1"/>
  <c r="AP59" i="27" s="1"/>
  <c r="AP60" i="27" s="1"/>
  <c r="AP61" i="27" s="1"/>
  <c r="AP62" i="27" s="1"/>
  <c r="AP63" i="27" s="1"/>
  <c r="AP64" i="27" s="1"/>
  <c r="AP65" i="27" s="1"/>
  <c r="AP66" i="27" s="1"/>
  <c r="AP67" i="27" s="1"/>
  <c r="AP68" i="27" s="1"/>
  <c r="AP69" i="27" s="1"/>
  <c r="AP70" i="27" s="1"/>
  <c r="AP71" i="27" s="1"/>
  <c r="AP72" i="27" s="1"/>
  <c r="AP73" i="27" s="1"/>
  <c r="AP74" i="27" s="1"/>
  <c r="AP75" i="27" s="1"/>
  <c r="AP76" i="27" s="1"/>
  <c r="AP77" i="27" s="1"/>
  <c r="AP78" i="27" s="1"/>
  <c r="AP79" i="27" s="1"/>
  <c r="AP80" i="27" s="1"/>
  <c r="AP81" i="27" s="1"/>
  <c r="AP82" i="27" s="1"/>
  <c r="AP83" i="27" s="1"/>
  <c r="AP84" i="27" s="1"/>
  <c r="AP85" i="27" s="1"/>
  <c r="AP86" i="27" s="1"/>
  <c r="AP87" i="27" s="1"/>
  <c r="AH36" i="8" s="1"/>
  <c r="AM8" i="27"/>
  <c r="AM9" i="27" s="1"/>
  <c r="BA8" i="27"/>
  <c r="AN7" i="27"/>
  <c r="AH33" i="8"/>
  <c r="AH43" i="8" s="1"/>
  <c r="AK7" i="27"/>
  <c r="CG11" i="27"/>
  <c r="AI19" i="27"/>
  <c r="AA18" i="27"/>
  <c r="AD18" i="27" s="1"/>
  <c r="X8" i="16"/>
  <c r="K19" i="27"/>
  <c r="BQ13" i="27"/>
  <c r="AU40" i="27"/>
  <c r="BU13" i="16"/>
  <c r="X12" i="16"/>
  <c r="AR7" i="27" l="1"/>
  <c r="AR8" i="27" s="1"/>
  <c r="AR9" i="27" s="1"/>
  <c r="AR10" i="27" s="1"/>
  <c r="AR11" i="27" s="1"/>
  <c r="AR12" i="27" s="1"/>
  <c r="AR13" i="27" s="1"/>
  <c r="AR14" i="27" s="1"/>
  <c r="AR15" i="27" s="1"/>
  <c r="AR16" i="27" s="1"/>
  <c r="AR17" i="27" s="1"/>
  <c r="AR18" i="27" s="1"/>
  <c r="AR19" i="27" s="1"/>
  <c r="AR20" i="27" s="1"/>
  <c r="AR21" i="27" s="1"/>
  <c r="AR22" i="27" s="1"/>
  <c r="AR23" i="27" s="1"/>
  <c r="AR24" i="27" s="1"/>
  <c r="AR25" i="27" s="1"/>
  <c r="AR26" i="27" s="1"/>
  <c r="AR27" i="27" s="1"/>
  <c r="AR28" i="27" s="1"/>
  <c r="AR29" i="27" s="1"/>
  <c r="AR30" i="27" s="1"/>
  <c r="AR31" i="27" s="1"/>
  <c r="AR32" i="27" s="1"/>
  <c r="AR33" i="27" s="1"/>
  <c r="AR34" i="27" s="1"/>
  <c r="AR35" i="27" s="1"/>
  <c r="AR36" i="27" s="1"/>
  <c r="AR37" i="27" s="1"/>
  <c r="AR38" i="27" s="1"/>
  <c r="AR39" i="27" s="1"/>
  <c r="AR40" i="27" s="1"/>
  <c r="AR41" i="27" s="1"/>
  <c r="AR42" i="27" s="1"/>
  <c r="AR43" i="27" s="1"/>
  <c r="AR44" i="27" s="1"/>
  <c r="AR45" i="27" s="1"/>
  <c r="AR46" i="27" s="1"/>
  <c r="AR47" i="27" s="1"/>
  <c r="AR48" i="27" s="1"/>
  <c r="AR49" i="27" s="1"/>
  <c r="AR50" i="27" s="1"/>
  <c r="AR51" i="27" s="1"/>
  <c r="AR52" i="27" s="1"/>
  <c r="AR53" i="27" s="1"/>
  <c r="AR54" i="27" s="1"/>
  <c r="AR55" i="27" s="1"/>
  <c r="AR56" i="27" s="1"/>
  <c r="AR57" i="27" s="1"/>
  <c r="AR58" i="27" s="1"/>
  <c r="AR59" i="27" s="1"/>
  <c r="AR60" i="27" s="1"/>
  <c r="AR61" i="27" s="1"/>
  <c r="AR62" i="27" s="1"/>
  <c r="AR63" i="27" s="1"/>
  <c r="AR64" i="27" s="1"/>
  <c r="AR65" i="27" s="1"/>
  <c r="AR66" i="27" s="1"/>
  <c r="AR67" i="27" s="1"/>
  <c r="AR68" i="27" s="1"/>
  <c r="AR69" i="27" s="1"/>
  <c r="AR70" i="27" s="1"/>
  <c r="AR71" i="27" s="1"/>
  <c r="AR72" i="27" s="1"/>
  <c r="AR73" i="27" s="1"/>
  <c r="AR74" i="27" s="1"/>
  <c r="AR75" i="27" s="1"/>
  <c r="AR76" i="27" s="1"/>
  <c r="AR77" i="27" s="1"/>
  <c r="AR78" i="27" s="1"/>
  <c r="AR79" i="27" s="1"/>
  <c r="AR80" i="27" s="1"/>
  <c r="AR81" i="27" s="1"/>
  <c r="AR82" i="27" s="1"/>
  <c r="AR83" i="27" s="1"/>
  <c r="AR84" i="27" s="1"/>
  <c r="AR85" i="27" s="1"/>
  <c r="AR86" i="27" s="1"/>
  <c r="AR87" i="27" s="1"/>
  <c r="AK8" i="27"/>
  <c r="BA9" i="27"/>
  <c r="AN8" i="27"/>
  <c r="AM10" i="27"/>
  <c r="CG12" i="27"/>
  <c r="Y8" i="16"/>
  <c r="K20" i="27"/>
  <c r="BQ14" i="27"/>
  <c r="AI20" i="27"/>
  <c r="AA19" i="27"/>
  <c r="AD19" i="27" s="1"/>
  <c r="AU41" i="27"/>
  <c r="BV13" i="16"/>
  <c r="Y12" i="16"/>
  <c r="B66" i="26"/>
  <c r="B26" i="25"/>
  <c r="AB7" i="27" l="1"/>
  <c r="U7" i="27" s="1"/>
  <c r="AC7" i="27"/>
  <c r="BA10" i="27"/>
  <c r="AN9" i="27"/>
  <c r="AK9" i="27"/>
  <c r="AC8" i="27"/>
  <c r="AB8" i="27"/>
  <c r="AM11" i="27"/>
  <c r="BQ15" i="27"/>
  <c r="CG13" i="27"/>
  <c r="Z8" i="16"/>
  <c r="K21" i="27"/>
  <c r="AI21" i="27"/>
  <c r="AA20" i="27"/>
  <c r="AD20" i="27" s="1"/>
  <c r="AU42" i="27"/>
  <c r="BW13" i="16"/>
  <c r="Z12" i="16"/>
  <c r="AK10" i="27" l="1"/>
  <c r="AC9" i="27"/>
  <c r="AB9" i="27"/>
  <c r="V7" i="27"/>
  <c r="U8" i="27"/>
  <c r="AE8" i="27"/>
  <c r="BA11" i="27"/>
  <c r="AN10" i="27"/>
  <c r="AM12" i="27"/>
  <c r="CG14" i="27"/>
  <c r="AA8" i="16"/>
  <c r="K22" i="27"/>
  <c r="BQ16" i="27"/>
  <c r="AI22" i="27"/>
  <c r="AA21" i="27"/>
  <c r="AD21" i="27" s="1"/>
  <c r="AU43" i="27"/>
  <c r="BX13" i="16"/>
  <c r="AA12" i="16"/>
  <c r="AC25" i="11"/>
  <c r="AF25" i="11" s="1"/>
  <c r="AC24" i="11"/>
  <c r="AF24" i="11" s="1"/>
  <c r="AC23" i="11"/>
  <c r="AF23" i="11" s="1"/>
  <c r="BA12" i="27" l="1"/>
  <c r="AN11" i="27"/>
  <c r="X7" i="27"/>
  <c r="W7" i="27"/>
  <c r="Z7" i="27"/>
  <c r="Y7" i="27"/>
  <c r="V8" i="27"/>
  <c r="AE9" i="27"/>
  <c r="U9" i="27"/>
  <c r="AC10" i="27"/>
  <c r="AK11" i="27"/>
  <c r="AB10" i="27"/>
  <c r="AM13" i="27"/>
  <c r="AI23" i="27"/>
  <c r="AA22" i="27"/>
  <c r="AD22" i="27" s="1"/>
  <c r="CG15" i="27"/>
  <c r="AB8" i="16"/>
  <c r="K23" i="27"/>
  <c r="BQ17" i="27"/>
  <c r="AU44" i="27"/>
  <c r="BY13" i="16"/>
  <c r="AB12" i="16"/>
  <c r="U49" i="11"/>
  <c r="AB49" i="11" s="1"/>
  <c r="AA49" i="11"/>
  <c r="Z49" i="11"/>
  <c r="Z8" i="27" l="1"/>
  <c r="X8" i="27"/>
  <c r="Y8" i="27"/>
  <c r="W8" i="27"/>
  <c r="AK12" i="27"/>
  <c r="AC11" i="27"/>
  <c r="AB11" i="27"/>
  <c r="AE10" i="27"/>
  <c r="V9" i="27"/>
  <c r="U10" i="27"/>
  <c r="BA13" i="27"/>
  <c r="AN12" i="27"/>
  <c r="AM14" i="27"/>
  <c r="AC8" i="16"/>
  <c r="K24" i="27"/>
  <c r="AI24" i="27"/>
  <c r="AA23" i="27"/>
  <c r="AD23" i="27" s="1"/>
  <c r="BQ18" i="27"/>
  <c r="CG16" i="27"/>
  <c r="AU45" i="27"/>
  <c r="BZ13" i="16"/>
  <c r="AC12" i="16"/>
  <c r="X49" i="11"/>
  <c r="AJ49" i="11" s="1"/>
  <c r="AK49" i="11" s="1"/>
  <c r="AL49" i="11" s="1"/>
  <c r="AM49" i="11" s="1"/>
  <c r="AN49" i="11" s="1"/>
  <c r="AO49" i="11" s="1"/>
  <c r="AP49" i="11" s="1"/>
  <c r="AQ49" i="11" s="1"/>
  <c r="AR49" i="11" s="1"/>
  <c r="AS49" i="11" s="1"/>
  <c r="AT49" i="11" s="1"/>
  <c r="AU49" i="11" s="1"/>
  <c r="AV49" i="11" s="1"/>
  <c r="AW49" i="11" s="1"/>
  <c r="AX49" i="11" s="1"/>
  <c r="AY49" i="11" s="1"/>
  <c r="AZ49" i="11" s="1"/>
  <c r="BA49" i="11" s="1"/>
  <c r="BB49" i="11" s="1"/>
  <c r="BC49" i="11" s="1"/>
  <c r="BD49" i="11" s="1"/>
  <c r="BE49" i="11" s="1"/>
  <c r="BF49" i="11" s="1"/>
  <c r="BG49" i="11" s="1"/>
  <c r="BH49" i="11" s="1"/>
  <c r="BI49" i="11" s="1"/>
  <c r="BJ49" i="11" s="1"/>
  <c r="BK49" i="11" s="1"/>
  <c r="BL49" i="11" s="1"/>
  <c r="BM49" i="11" s="1"/>
  <c r="BN49" i="11" s="1"/>
  <c r="BO49" i="11" s="1"/>
  <c r="BP49" i="11" s="1"/>
  <c r="BQ49" i="11" s="1"/>
  <c r="BR49" i="11" s="1"/>
  <c r="BS49" i="11" s="1"/>
  <c r="BT49" i="11" s="1"/>
  <c r="BU49" i="11" s="1"/>
  <c r="BV49" i="11" s="1"/>
  <c r="BW49" i="11" s="1"/>
  <c r="BX49" i="11" s="1"/>
  <c r="BY49" i="11" s="1"/>
  <c r="BZ49" i="11" s="1"/>
  <c r="CA49" i="11" s="1"/>
  <c r="CB49" i="11" s="1"/>
  <c r="CC49" i="11" s="1"/>
  <c r="CD49" i="11" s="1"/>
  <c r="CE49" i="11" s="1"/>
  <c r="CF49" i="11" s="1"/>
  <c r="CG49" i="11" s="1"/>
  <c r="CH49" i="11" s="1"/>
  <c r="CI49" i="11" s="1"/>
  <c r="CJ49" i="11" s="1"/>
  <c r="CK49" i="11" s="1"/>
  <c r="CL49" i="11" s="1"/>
  <c r="CM49" i="11" s="1"/>
  <c r="CN49" i="11" s="1"/>
  <c r="CO49" i="11" s="1"/>
  <c r="CP49" i="11" s="1"/>
  <c r="CQ49" i="11" s="1"/>
  <c r="CR49" i="11" s="1"/>
  <c r="CS49" i="11" s="1"/>
  <c r="CT49" i="11" s="1"/>
  <c r="CU49" i="11" s="1"/>
  <c r="CV49" i="11" s="1"/>
  <c r="CW49" i="11" s="1"/>
  <c r="CX49" i="11" s="1"/>
  <c r="CY49" i="11" s="1"/>
  <c r="CZ49" i="11" s="1"/>
  <c r="DA49" i="11" s="1"/>
  <c r="DB49" i="11" s="1"/>
  <c r="DC49" i="11" s="1"/>
  <c r="DD49" i="11" s="1"/>
  <c r="DE49" i="11" s="1"/>
  <c r="DF49" i="11" s="1"/>
  <c r="DG49" i="11" s="1"/>
  <c r="DH49" i="11" s="1"/>
  <c r="DI49" i="11" s="1"/>
  <c r="DJ49" i="11" s="1"/>
  <c r="DK49" i="11" s="1"/>
  <c r="DL49" i="11" s="1"/>
  <c r="X10" i="11"/>
  <c r="AJ10" i="11" s="1"/>
  <c r="AK10" i="11" s="1"/>
  <c r="AL10" i="11" s="1"/>
  <c r="AM10" i="11" s="1"/>
  <c r="AN10" i="11" s="1"/>
  <c r="AO10" i="11" s="1"/>
  <c r="AP10" i="11" s="1"/>
  <c r="AQ10" i="11" s="1"/>
  <c r="AR10" i="11" s="1"/>
  <c r="AS10" i="11" s="1"/>
  <c r="AT10" i="11" s="1"/>
  <c r="AU10" i="11" s="1"/>
  <c r="AV10" i="11" s="1"/>
  <c r="AW10" i="11" s="1"/>
  <c r="AX10" i="11" s="1"/>
  <c r="AY10" i="11" s="1"/>
  <c r="AZ10" i="11" s="1"/>
  <c r="BA10" i="11" s="1"/>
  <c r="BB10" i="11" s="1"/>
  <c r="BC10" i="11" s="1"/>
  <c r="W9" i="27" l="1"/>
  <c r="X9" i="27"/>
  <c r="Z9" i="27"/>
  <c r="Y9" i="27"/>
  <c r="V10" i="27"/>
  <c r="AE11" i="27"/>
  <c r="U11" i="27"/>
  <c r="BA14" i="27"/>
  <c r="AN13" i="27"/>
  <c r="AC12" i="27"/>
  <c r="AK13" i="27"/>
  <c r="AB12" i="27"/>
  <c r="AM15" i="27"/>
  <c r="CG17" i="27"/>
  <c r="BQ19" i="27"/>
  <c r="AI25" i="27"/>
  <c r="AA24" i="27"/>
  <c r="AD24" i="27" s="1"/>
  <c r="AD8" i="16"/>
  <c r="K25" i="27"/>
  <c r="AU46" i="27"/>
  <c r="CA13" i="16"/>
  <c r="AD12" i="16"/>
  <c r="X10" i="27" l="1"/>
  <c r="W10" i="27"/>
  <c r="Y10" i="27"/>
  <c r="Z10" i="27"/>
  <c r="V11" i="27"/>
  <c r="U12" i="27"/>
  <c r="AE12" i="27"/>
  <c r="AK14" i="27"/>
  <c r="AC13" i="27"/>
  <c r="AB13" i="27"/>
  <c r="BA15" i="27"/>
  <c r="AN14" i="27"/>
  <c r="AM16" i="27"/>
  <c r="BQ20" i="27"/>
  <c r="AE8" i="16"/>
  <c r="K26" i="27"/>
  <c r="AI26" i="27"/>
  <c r="AA25" i="27"/>
  <c r="AD25" i="27" s="1"/>
  <c r="CG18" i="27"/>
  <c r="AU47" i="27"/>
  <c r="CB13" i="16"/>
  <c r="AE12" i="16"/>
  <c r="P8" i="11"/>
  <c r="U8" i="11" s="1"/>
  <c r="AB8" i="11" s="1"/>
  <c r="U25" i="11"/>
  <c r="AB25" i="11" s="1"/>
  <c r="T25" i="11"/>
  <c r="AA25" i="11" s="1"/>
  <c r="S25" i="11"/>
  <c r="Z25" i="11" s="1"/>
  <c r="Q25" i="11"/>
  <c r="Q30" i="11"/>
  <c r="U31" i="11"/>
  <c r="AB31" i="11" s="1"/>
  <c r="U30" i="11"/>
  <c r="AB30" i="11" s="1"/>
  <c r="S31" i="11"/>
  <c r="Z31" i="11" s="1"/>
  <c r="T31" i="11"/>
  <c r="AA31" i="11" s="1"/>
  <c r="T30" i="11"/>
  <c r="AA30" i="11" s="1"/>
  <c r="U29" i="11"/>
  <c r="AB29" i="11" s="1"/>
  <c r="T29" i="11"/>
  <c r="AA29" i="11" s="1"/>
  <c r="S29" i="11"/>
  <c r="Z29" i="11" s="1"/>
  <c r="Q31" i="11"/>
  <c r="Z48" i="11"/>
  <c r="AA48" i="11"/>
  <c r="U48" i="11"/>
  <c r="AB48" i="11" s="1"/>
  <c r="U39" i="11"/>
  <c r="AB39" i="11" s="1"/>
  <c r="T39" i="11"/>
  <c r="AA39" i="11" s="1"/>
  <c r="S39" i="11"/>
  <c r="Z39" i="11" s="1"/>
  <c r="Q39" i="11"/>
  <c r="U14" i="11"/>
  <c r="AB14" i="11" s="1"/>
  <c r="Q18" i="11"/>
  <c r="S18" i="11"/>
  <c r="Z18" i="11" s="1"/>
  <c r="T18" i="11"/>
  <c r="AA18" i="11" s="1"/>
  <c r="U18" i="11"/>
  <c r="AB18" i="11" s="1"/>
  <c r="Q19" i="11"/>
  <c r="S19" i="11"/>
  <c r="Z19" i="11" s="1"/>
  <c r="T19" i="11"/>
  <c r="AA19" i="11" s="1"/>
  <c r="U19" i="11"/>
  <c r="AB19" i="11" s="1"/>
  <c r="Q15" i="11"/>
  <c r="S15" i="11"/>
  <c r="Z15" i="11" s="1"/>
  <c r="T15" i="11"/>
  <c r="AA15" i="11" s="1"/>
  <c r="U15" i="11"/>
  <c r="AB15" i="11" s="1"/>
  <c r="Q16" i="11"/>
  <c r="X16" i="11" s="1"/>
  <c r="AJ16" i="11" s="1"/>
  <c r="AK16" i="11" s="1"/>
  <c r="AL16" i="11" s="1"/>
  <c r="AM16" i="11" s="1"/>
  <c r="AN16" i="11" s="1"/>
  <c r="AO16" i="11" s="1"/>
  <c r="AP16" i="11" s="1"/>
  <c r="AQ16" i="11" s="1"/>
  <c r="AR16" i="11" s="1"/>
  <c r="AS16" i="11" s="1"/>
  <c r="AT16" i="11" s="1"/>
  <c r="AU16" i="11" s="1"/>
  <c r="AV16" i="11" s="1"/>
  <c r="AW16" i="11" s="1"/>
  <c r="AX16" i="11" s="1"/>
  <c r="AY16" i="11" s="1"/>
  <c r="AZ16" i="11" s="1"/>
  <c r="BA16" i="11" s="1"/>
  <c r="BB16" i="11" s="1"/>
  <c r="BC16" i="11" s="1"/>
  <c r="BD16" i="11" s="1"/>
  <c r="BE16" i="11" s="1"/>
  <c r="BF16" i="11" s="1"/>
  <c r="BG16" i="11" s="1"/>
  <c r="BH16" i="11" s="1"/>
  <c r="BI16" i="11" s="1"/>
  <c r="BJ16" i="11" s="1"/>
  <c r="BK16" i="11" s="1"/>
  <c r="BL16" i="11" s="1"/>
  <c r="BM16" i="11" s="1"/>
  <c r="BN16" i="11" s="1"/>
  <c r="BO16" i="11" s="1"/>
  <c r="BP16" i="11" s="1"/>
  <c r="BQ16" i="11" s="1"/>
  <c r="BR16" i="11" s="1"/>
  <c r="BS16" i="11" s="1"/>
  <c r="BT16" i="11" s="1"/>
  <c r="BU16" i="11" s="1"/>
  <c r="BV16" i="11" s="1"/>
  <c r="BW16" i="11" s="1"/>
  <c r="BX16" i="11" s="1"/>
  <c r="BY16" i="11" s="1"/>
  <c r="BZ16" i="11" s="1"/>
  <c r="CA16" i="11" s="1"/>
  <c r="CB16" i="11" s="1"/>
  <c r="CC16" i="11" s="1"/>
  <c r="CD16" i="11" s="1"/>
  <c r="CE16" i="11" s="1"/>
  <c r="CF16" i="11" s="1"/>
  <c r="CG16" i="11" s="1"/>
  <c r="CH16" i="11" s="1"/>
  <c r="CI16" i="11" s="1"/>
  <c r="CJ16" i="11" s="1"/>
  <c r="CK16" i="11" s="1"/>
  <c r="CL16" i="11" s="1"/>
  <c r="CM16" i="11" s="1"/>
  <c r="CN16" i="11" s="1"/>
  <c r="CO16" i="11" s="1"/>
  <c r="CP16" i="11" s="1"/>
  <c r="CQ16" i="11" s="1"/>
  <c r="CR16" i="11" s="1"/>
  <c r="CS16" i="11" s="1"/>
  <c r="CT16" i="11" s="1"/>
  <c r="CU16" i="11" s="1"/>
  <c r="CV16" i="11" s="1"/>
  <c r="CW16" i="11" s="1"/>
  <c r="CX16" i="11" s="1"/>
  <c r="CY16" i="11" s="1"/>
  <c r="CZ16" i="11" s="1"/>
  <c r="DA16" i="11" s="1"/>
  <c r="DB16" i="11" s="1"/>
  <c r="DC16" i="11" s="1"/>
  <c r="DD16" i="11" s="1"/>
  <c r="DE16" i="11" s="1"/>
  <c r="DF16" i="11" s="1"/>
  <c r="DG16" i="11" s="1"/>
  <c r="DH16" i="11" s="1"/>
  <c r="DI16" i="11" s="1"/>
  <c r="DJ16" i="11" s="1"/>
  <c r="DK16" i="11" s="1"/>
  <c r="DL16" i="11" s="1"/>
  <c r="S16" i="11"/>
  <c r="Z16" i="11" s="1"/>
  <c r="T16" i="11"/>
  <c r="AA16" i="11" s="1"/>
  <c r="U16" i="11"/>
  <c r="AB16" i="11" s="1"/>
  <c r="S44" i="11"/>
  <c r="Z44" i="11" s="1"/>
  <c r="T44" i="11"/>
  <c r="AA44" i="11" s="1"/>
  <c r="U44" i="11"/>
  <c r="AB44" i="11" s="1"/>
  <c r="S45" i="11"/>
  <c r="Z45" i="11" s="1"/>
  <c r="T45" i="11"/>
  <c r="AA45" i="11" s="1"/>
  <c r="U45" i="11"/>
  <c r="AB45" i="11" s="1"/>
  <c r="S46" i="11"/>
  <c r="Z46" i="11" s="1"/>
  <c r="T46" i="11"/>
  <c r="AA46" i="11" s="1"/>
  <c r="U46" i="11"/>
  <c r="AB46" i="11" s="1"/>
  <c r="S47" i="11"/>
  <c r="Z47" i="11" s="1"/>
  <c r="T47" i="11"/>
  <c r="AA47" i="11" s="1"/>
  <c r="U47" i="11"/>
  <c r="AB47" i="11" s="1"/>
  <c r="T43" i="11"/>
  <c r="AA43" i="11" s="1"/>
  <c r="U43" i="11"/>
  <c r="AB43" i="11" s="1"/>
  <c r="T9" i="11"/>
  <c r="AA9" i="11" s="1"/>
  <c r="U9" i="11"/>
  <c r="AB9" i="11" s="1"/>
  <c r="T4" i="11"/>
  <c r="U4" i="11"/>
  <c r="S4" i="11"/>
  <c r="S9" i="11"/>
  <c r="Z9" i="11" s="1"/>
  <c r="S43" i="11"/>
  <c r="Z43" i="11" s="1"/>
  <c r="Q9" i="11"/>
  <c r="Q43" i="11"/>
  <c r="Q44" i="11"/>
  <c r="X44" i="11" s="1"/>
  <c r="AJ44" i="11" s="1"/>
  <c r="AK44" i="11" s="1"/>
  <c r="AL44" i="11" s="1"/>
  <c r="AM44" i="11" s="1"/>
  <c r="AN44" i="11" s="1"/>
  <c r="AO44" i="11" s="1"/>
  <c r="AP44" i="11" s="1"/>
  <c r="AQ44" i="11" s="1"/>
  <c r="AR44" i="11" s="1"/>
  <c r="AS44" i="11" s="1"/>
  <c r="AT44" i="11" s="1"/>
  <c r="AU44" i="11" s="1"/>
  <c r="AV44" i="11" s="1"/>
  <c r="AW44" i="11" s="1"/>
  <c r="AX44" i="11" s="1"/>
  <c r="AY44" i="11" s="1"/>
  <c r="AZ44" i="11" s="1"/>
  <c r="BA44" i="11" s="1"/>
  <c r="BB44" i="11" s="1"/>
  <c r="BC44" i="11" s="1"/>
  <c r="BD44" i="11" s="1"/>
  <c r="BE44" i="11" s="1"/>
  <c r="BF44" i="11" s="1"/>
  <c r="BG44" i="11" s="1"/>
  <c r="BH44" i="11" s="1"/>
  <c r="BI44" i="11" s="1"/>
  <c r="BJ44" i="11" s="1"/>
  <c r="BK44" i="11" s="1"/>
  <c r="BL44" i="11" s="1"/>
  <c r="BM44" i="11" s="1"/>
  <c r="Q45" i="11"/>
  <c r="Q46" i="11"/>
  <c r="Q47" i="11"/>
  <c r="AB40" i="11"/>
  <c r="AA40" i="11"/>
  <c r="Z40" i="11"/>
  <c r="U17" i="11"/>
  <c r="AB17" i="11" s="1"/>
  <c r="T17" i="11"/>
  <c r="AA17" i="11" s="1"/>
  <c r="S17" i="11"/>
  <c r="Z17" i="11" s="1"/>
  <c r="Q17" i="11"/>
  <c r="T14" i="11"/>
  <c r="AA14" i="11" s="1"/>
  <c r="S14" i="11"/>
  <c r="Z14" i="11" s="1"/>
  <c r="Q14" i="11"/>
  <c r="BA16" i="27" l="1"/>
  <c r="AN15" i="27"/>
  <c r="AE13" i="27"/>
  <c r="U13" i="27"/>
  <c r="W11" i="27"/>
  <c r="Y11" i="27"/>
  <c r="Z11" i="27"/>
  <c r="X11" i="27"/>
  <c r="V12" i="27"/>
  <c r="AK15" i="27"/>
  <c r="AC14" i="27"/>
  <c r="AB14" i="27"/>
  <c r="V13" i="27" s="1"/>
  <c r="BD29" i="11"/>
  <c r="BE29" i="11" s="1"/>
  <c r="BF29" i="11" s="1"/>
  <c r="BG29" i="11" s="1"/>
  <c r="BH29" i="11" s="1"/>
  <c r="BI29" i="11" s="1"/>
  <c r="BJ29" i="11" s="1"/>
  <c r="BK29" i="11" s="1"/>
  <c r="BL29" i="11" s="1"/>
  <c r="BM29" i="11" s="1"/>
  <c r="BN29" i="11" s="1"/>
  <c r="BO29" i="11" s="1"/>
  <c r="BP29" i="11" s="1"/>
  <c r="BQ29" i="11" s="1"/>
  <c r="BR29" i="11" s="1"/>
  <c r="BS29" i="11" s="1"/>
  <c r="BT29" i="11" s="1"/>
  <c r="BU29" i="11" s="1"/>
  <c r="BV29" i="11" s="1"/>
  <c r="BW29" i="11" s="1"/>
  <c r="BX29" i="11" s="1"/>
  <c r="BY29" i="11" s="1"/>
  <c r="BZ29" i="11" s="1"/>
  <c r="CA29" i="11" s="1"/>
  <c r="CB29" i="11" s="1"/>
  <c r="CC29" i="11" s="1"/>
  <c r="CD29" i="11" s="1"/>
  <c r="CE29" i="11" s="1"/>
  <c r="CF29" i="11" s="1"/>
  <c r="CG29" i="11" s="1"/>
  <c r="CH29" i="11" s="1"/>
  <c r="CI29" i="11" s="1"/>
  <c r="CJ29" i="11" s="1"/>
  <c r="CK29" i="11" s="1"/>
  <c r="CL29" i="11" s="1"/>
  <c r="CM29" i="11" s="1"/>
  <c r="CN29" i="11" s="1"/>
  <c r="CO29" i="11" s="1"/>
  <c r="CP29" i="11" s="1"/>
  <c r="CQ29" i="11" s="1"/>
  <c r="CR29" i="11" s="1"/>
  <c r="CS29" i="11" s="1"/>
  <c r="CT29" i="11" s="1"/>
  <c r="CU29" i="11" s="1"/>
  <c r="CV29" i="11" s="1"/>
  <c r="CW29" i="11" s="1"/>
  <c r="CX29" i="11" s="1"/>
  <c r="CY29" i="11" s="1"/>
  <c r="CZ29" i="11" s="1"/>
  <c r="DA29" i="11" s="1"/>
  <c r="DB29" i="11" s="1"/>
  <c r="DC29" i="11" s="1"/>
  <c r="DD29" i="11" s="1"/>
  <c r="DE29" i="11" s="1"/>
  <c r="DF29" i="11" s="1"/>
  <c r="DG29" i="11" s="1"/>
  <c r="DH29" i="11" s="1"/>
  <c r="DI29" i="11" s="1"/>
  <c r="DJ29" i="11" s="1"/>
  <c r="DK29" i="11" s="1"/>
  <c r="DL29" i="11" s="1"/>
  <c r="BN44" i="11"/>
  <c r="BO44" i="11" s="1"/>
  <c r="BP44" i="11" s="1"/>
  <c r="BQ44" i="11" s="1"/>
  <c r="BR44" i="11" s="1"/>
  <c r="BS44" i="11" s="1"/>
  <c r="BT44" i="11" s="1"/>
  <c r="BU44" i="11" s="1"/>
  <c r="BV44" i="11" s="1"/>
  <c r="BW44" i="11" s="1"/>
  <c r="BX44" i="11" s="1"/>
  <c r="BY44" i="11" s="1"/>
  <c r="BZ44" i="11" s="1"/>
  <c r="CA44" i="11" s="1"/>
  <c r="CB44" i="11" s="1"/>
  <c r="CC44" i="11" s="1"/>
  <c r="CD44" i="11" s="1"/>
  <c r="CE44" i="11" s="1"/>
  <c r="CF44" i="11" s="1"/>
  <c r="CG44" i="11" s="1"/>
  <c r="CH44" i="11" s="1"/>
  <c r="CI44" i="11" s="1"/>
  <c r="CJ44" i="11" s="1"/>
  <c r="CK44" i="11" s="1"/>
  <c r="CL44" i="11" s="1"/>
  <c r="CM44" i="11" s="1"/>
  <c r="CN44" i="11" s="1"/>
  <c r="CO44" i="11" s="1"/>
  <c r="CP44" i="11" s="1"/>
  <c r="CQ44" i="11" s="1"/>
  <c r="CR44" i="11" s="1"/>
  <c r="CS44" i="11" s="1"/>
  <c r="CT44" i="11" s="1"/>
  <c r="CU44" i="11" s="1"/>
  <c r="CV44" i="11" s="1"/>
  <c r="CW44" i="11" s="1"/>
  <c r="CX44" i="11" s="1"/>
  <c r="CY44" i="11" s="1"/>
  <c r="CZ44" i="11" s="1"/>
  <c r="DA44" i="11" s="1"/>
  <c r="DB44" i="11" s="1"/>
  <c r="DC44" i="11" s="1"/>
  <c r="DD44" i="11" s="1"/>
  <c r="DE44" i="11" s="1"/>
  <c r="DF44" i="11" s="1"/>
  <c r="DG44" i="11" s="1"/>
  <c r="DH44" i="11" s="1"/>
  <c r="DI44" i="11" s="1"/>
  <c r="DJ44" i="11" s="1"/>
  <c r="DK44" i="11" s="1"/>
  <c r="DL44" i="11" s="1"/>
  <c r="AV48" i="11"/>
  <c r="AW48" i="11" s="1"/>
  <c r="AX48" i="11" s="1"/>
  <c r="AY48" i="11" s="1"/>
  <c r="AZ48" i="11" s="1"/>
  <c r="BA48" i="11" s="1"/>
  <c r="BB48" i="11" s="1"/>
  <c r="BC48" i="11" s="1"/>
  <c r="BD48" i="11" s="1"/>
  <c r="BE48" i="11" s="1"/>
  <c r="BF48" i="11" s="1"/>
  <c r="BG48" i="11" s="1"/>
  <c r="BH48" i="11" s="1"/>
  <c r="BI48" i="11" s="1"/>
  <c r="BJ48" i="11" s="1"/>
  <c r="BK48" i="11" s="1"/>
  <c r="BL48" i="11" s="1"/>
  <c r="BM48" i="11" s="1"/>
  <c r="BN48" i="11" s="1"/>
  <c r="BO48" i="11" s="1"/>
  <c r="BP48" i="11" s="1"/>
  <c r="BQ48" i="11" s="1"/>
  <c r="BR48" i="11" s="1"/>
  <c r="BS48" i="11" s="1"/>
  <c r="BT48" i="11" s="1"/>
  <c r="BU48" i="11" s="1"/>
  <c r="BV48" i="11" s="1"/>
  <c r="BW48" i="11" s="1"/>
  <c r="BX48" i="11" s="1"/>
  <c r="BY48" i="11" s="1"/>
  <c r="BZ48" i="11" s="1"/>
  <c r="CA48" i="11" s="1"/>
  <c r="CB48" i="11" s="1"/>
  <c r="CC48" i="11" s="1"/>
  <c r="CD48" i="11" s="1"/>
  <c r="CE48" i="11" s="1"/>
  <c r="CF48" i="11" s="1"/>
  <c r="CG48" i="11" s="1"/>
  <c r="CH48" i="11" s="1"/>
  <c r="CI48" i="11" s="1"/>
  <c r="CJ48" i="11" s="1"/>
  <c r="CK48" i="11" s="1"/>
  <c r="CL48" i="11" s="1"/>
  <c r="CM48" i="11" s="1"/>
  <c r="CN48" i="11" s="1"/>
  <c r="CO48" i="11" s="1"/>
  <c r="CP48" i="11" s="1"/>
  <c r="CQ48" i="11" s="1"/>
  <c r="CR48" i="11" s="1"/>
  <c r="CS48" i="11" s="1"/>
  <c r="CT48" i="11" s="1"/>
  <c r="CU48" i="11" s="1"/>
  <c r="CV48" i="11" s="1"/>
  <c r="CW48" i="11" s="1"/>
  <c r="CX48" i="11" s="1"/>
  <c r="CY48" i="11" s="1"/>
  <c r="CZ48" i="11" s="1"/>
  <c r="DA48" i="11" s="1"/>
  <c r="DB48" i="11" s="1"/>
  <c r="DC48" i="11" s="1"/>
  <c r="DD48" i="11" s="1"/>
  <c r="DE48" i="11" s="1"/>
  <c r="DF48" i="11" s="1"/>
  <c r="DG48" i="11" s="1"/>
  <c r="DH48" i="11" s="1"/>
  <c r="DI48" i="11" s="1"/>
  <c r="DJ48" i="11" s="1"/>
  <c r="DK48" i="11" s="1"/>
  <c r="DL48" i="11" s="1"/>
  <c r="AM17" i="27"/>
  <c r="AF8" i="16"/>
  <c r="K27" i="27"/>
  <c r="X40" i="11"/>
  <c r="AJ40" i="11" s="1"/>
  <c r="AK40" i="11" s="1"/>
  <c r="AL40" i="11" s="1"/>
  <c r="AM40" i="11" s="1"/>
  <c r="AN40" i="11" s="1"/>
  <c r="AO40" i="11" s="1"/>
  <c r="AP40" i="11" s="1"/>
  <c r="AQ40" i="11" s="1"/>
  <c r="AR40" i="11" s="1"/>
  <c r="AS40" i="11" s="1"/>
  <c r="AT40" i="11" s="1"/>
  <c r="AU40" i="11" s="1"/>
  <c r="AV40" i="11" s="1"/>
  <c r="AW40" i="11" s="1"/>
  <c r="AX40" i="11" s="1"/>
  <c r="AY40" i="11" s="1"/>
  <c r="AZ40" i="11" s="1"/>
  <c r="BA40" i="11" s="1"/>
  <c r="BB40" i="11" s="1"/>
  <c r="BC40" i="11" s="1"/>
  <c r="BD40" i="11" s="1"/>
  <c r="BE40" i="11" s="1"/>
  <c r="BF40" i="11" s="1"/>
  <c r="BG40" i="11" s="1"/>
  <c r="BH40" i="11" s="1"/>
  <c r="BI40" i="11" s="1"/>
  <c r="BJ40" i="11" s="1"/>
  <c r="BK40" i="11" s="1"/>
  <c r="BL40" i="11" s="1"/>
  <c r="BM40" i="11" s="1"/>
  <c r="BN40" i="11" s="1"/>
  <c r="BO40" i="11" s="1"/>
  <c r="BP40" i="11" s="1"/>
  <c r="BQ40" i="11" s="1"/>
  <c r="BR40" i="11" s="1"/>
  <c r="BS40" i="11" s="1"/>
  <c r="BT40" i="11" s="1"/>
  <c r="BU40" i="11" s="1"/>
  <c r="BV40" i="11" s="1"/>
  <c r="BW40" i="11" s="1"/>
  <c r="BX40" i="11" s="1"/>
  <c r="BY40" i="11" s="1"/>
  <c r="BZ40" i="11" s="1"/>
  <c r="CA40" i="11" s="1"/>
  <c r="CB40" i="11" s="1"/>
  <c r="CC40" i="11" s="1"/>
  <c r="CD40" i="11" s="1"/>
  <c r="CE40" i="11" s="1"/>
  <c r="CF40" i="11" s="1"/>
  <c r="CG40" i="11" s="1"/>
  <c r="CH40" i="11" s="1"/>
  <c r="CI40" i="11" s="1"/>
  <c r="CJ40" i="11" s="1"/>
  <c r="CK40" i="11" s="1"/>
  <c r="CL40" i="11" s="1"/>
  <c r="CM40" i="11" s="1"/>
  <c r="CN40" i="11" s="1"/>
  <c r="CO40" i="11" s="1"/>
  <c r="CP40" i="11" s="1"/>
  <c r="CQ40" i="11" s="1"/>
  <c r="CR40" i="11" s="1"/>
  <c r="CS40" i="11" s="1"/>
  <c r="CT40" i="11" s="1"/>
  <c r="CU40" i="11" s="1"/>
  <c r="CV40" i="11" s="1"/>
  <c r="CW40" i="11" s="1"/>
  <c r="CX40" i="11" s="1"/>
  <c r="CY40" i="11" s="1"/>
  <c r="CZ40" i="11" s="1"/>
  <c r="DA40" i="11" s="1"/>
  <c r="DB40" i="11" s="1"/>
  <c r="DC40" i="11" s="1"/>
  <c r="DD40" i="11" s="1"/>
  <c r="DE40" i="11" s="1"/>
  <c r="DF40" i="11" s="1"/>
  <c r="DG40" i="11" s="1"/>
  <c r="DH40" i="11" s="1"/>
  <c r="DI40" i="11" s="1"/>
  <c r="DJ40" i="11" s="1"/>
  <c r="DK40" i="11" s="1"/>
  <c r="DL40" i="11" s="1"/>
  <c r="Z4" i="11"/>
  <c r="BD4" i="11" s="1"/>
  <c r="BE4" i="11" s="1"/>
  <c r="BF4" i="11" s="1"/>
  <c r="BG4" i="11" s="1"/>
  <c r="BH4" i="11" s="1"/>
  <c r="BI4" i="11" s="1"/>
  <c r="BJ4" i="11" s="1"/>
  <c r="BK4" i="11" s="1"/>
  <c r="BL4" i="11" s="1"/>
  <c r="BM4" i="11" s="1"/>
  <c r="S10" i="11"/>
  <c r="Z10" i="11" s="1"/>
  <c r="BD10" i="11" s="1"/>
  <c r="BE10" i="11" s="1"/>
  <c r="BF10" i="11" s="1"/>
  <c r="BG10" i="11" s="1"/>
  <c r="BH10" i="11" s="1"/>
  <c r="BI10" i="11" s="1"/>
  <c r="BJ10" i="11" s="1"/>
  <c r="BK10" i="11" s="1"/>
  <c r="BL10" i="11" s="1"/>
  <c r="BM10" i="11" s="1"/>
  <c r="AB4" i="11"/>
  <c r="U10" i="11"/>
  <c r="AB10" i="11" s="1"/>
  <c r="AA4" i="11"/>
  <c r="T10" i="11"/>
  <c r="AA10" i="11" s="1"/>
  <c r="CG19" i="27"/>
  <c r="AI27" i="27"/>
  <c r="AA26" i="27"/>
  <c r="AD26" i="27" s="1"/>
  <c r="BQ21" i="27"/>
  <c r="AU48" i="27"/>
  <c r="CC13" i="16"/>
  <c r="AF12" i="16"/>
  <c r="X19" i="11"/>
  <c r="AJ19" i="11" s="1"/>
  <c r="AK19" i="11" s="1"/>
  <c r="AL19" i="11" s="1"/>
  <c r="AM19" i="11" s="1"/>
  <c r="AN19" i="11" s="1"/>
  <c r="AO19" i="11" s="1"/>
  <c r="AP19" i="11" s="1"/>
  <c r="AQ19" i="11" s="1"/>
  <c r="AR19" i="11" s="1"/>
  <c r="AS19" i="11" s="1"/>
  <c r="AT19" i="11" s="1"/>
  <c r="AU19" i="11" s="1"/>
  <c r="AV19" i="11" s="1"/>
  <c r="AW19" i="11" s="1"/>
  <c r="AX19" i="11" s="1"/>
  <c r="AY19" i="11" s="1"/>
  <c r="AZ19" i="11" s="1"/>
  <c r="BA19" i="11" s="1"/>
  <c r="BB19" i="11" s="1"/>
  <c r="BC19" i="11" s="1"/>
  <c r="BD19" i="11" s="1"/>
  <c r="BE19" i="11" s="1"/>
  <c r="BF19" i="11" s="1"/>
  <c r="BG19" i="11" s="1"/>
  <c r="BH19" i="11" s="1"/>
  <c r="BI19" i="11" s="1"/>
  <c r="BJ19" i="11" s="1"/>
  <c r="BK19" i="11" s="1"/>
  <c r="BL19" i="11" s="1"/>
  <c r="BM19" i="11" s="1"/>
  <c r="BN19" i="11" s="1"/>
  <c r="BO19" i="11" s="1"/>
  <c r="BP19" i="11" s="1"/>
  <c r="BQ19" i="11" s="1"/>
  <c r="BR19" i="11" s="1"/>
  <c r="BS19" i="11" s="1"/>
  <c r="BT19" i="11" s="1"/>
  <c r="BU19" i="11" s="1"/>
  <c r="BV19" i="11" s="1"/>
  <c r="BW19" i="11" s="1"/>
  <c r="BX19" i="11" s="1"/>
  <c r="BY19" i="11" s="1"/>
  <c r="BZ19" i="11" s="1"/>
  <c r="CA19" i="11" s="1"/>
  <c r="CB19" i="11" s="1"/>
  <c r="CC19" i="11" s="1"/>
  <c r="CD19" i="11" s="1"/>
  <c r="CE19" i="11" s="1"/>
  <c r="CF19" i="11" s="1"/>
  <c r="CG19" i="11" s="1"/>
  <c r="CH19" i="11" s="1"/>
  <c r="CI19" i="11" s="1"/>
  <c r="CJ19" i="11" s="1"/>
  <c r="CK19" i="11" s="1"/>
  <c r="CL19" i="11" s="1"/>
  <c r="CM19" i="11" s="1"/>
  <c r="CN19" i="11" s="1"/>
  <c r="CO19" i="11" s="1"/>
  <c r="CP19" i="11" s="1"/>
  <c r="CQ19" i="11" s="1"/>
  <c r="CR19" i="11" s="1"/>
  <c r="CS19" i="11" s="1"/>
  <c r="CT19" i="11" s="1"/>
  <c r="CU19" i="11" s="1"/>
  <c r="CV19" i="11" s="1"/>
  <c r="CW19" i="11" s="1"/>
  <c r="CX19" i="11" s="1"/>
  <c r="CY19" i="11" s="1"/>
  <c r="CZ19" i="11" s="1"/>
  <c r="DA19" i="11" s="1"/>
  <c r="DB19" i="11" s="1"/>
  <c r="DC19" i="11" s="1"/>
  <c r="DD19" i="11" s="1"/>
  <c r="DE19" i="11" s="1"/>
  <c r="DF19" i="11" s="1"/>
  <c r="DG19" i="11" s="1"/>
  <c r="DH19" i="11" s="1"/>
  <c r="DI19" i="11" s="1"/>
  <c r="DJ19" i="11" s="1"/>
  <c r="DK19" i="11" s="1"/>
  <c r="DL19" i="11" s="1"/>
  <c r="X43" i="11"/>
  <c r="AJ43" i="11" s="1"/>
  <c r="AK43" i="11" s="1"/>
  <c r="AL43" i="11" s="1"/>
  <c r="AM43" i="11" s="1"/>
  <c r="AN43" i="11" s="1"/>
  <c r="AO43" i="11" s="1"/>
  <c r="AP43" i="11" s="1"/>
  <c r="AQ43" i="11" s="1"/>
  <c r="AR43" i="11" s="1"/>
  <c r="AS43" i="11" s="1"/>
  <c r="AT43" i="11" s="1"/>
  <c r="AU43" i="11" s="1"/>
  <c r="AV43" i="11" s="1"/>
  <c r="AW43" i="11" s="1"/>
  <c r="AX43" i="11" s="1"/>
  <c r="AY43" i="11" s="1"/>
  <c r="AZ43" i="11" s="1"/>
  <c r="BA43" i="11" s="1"/>
  <c r="BB43" i="11" s="1"/>
  <c r="BC43" i="11" s="1"/>
  <c r="BD43" i="11" s="1"/>
  <c r="BE43" i="11" s="1"/>
  <c r="BF43" i="11" s="1"/>
  <c r="BG43" i="11" s="1"/>
  <c r="BH43" i="11" s="1"/>
  <c r="BI43" i="11" s="1"/>
  <c r="BJ43" i="11" s="1"/>
  <c r="BK43" i="11" s="1"/>
  <c r="BL43" i="11" s="1"/>
  <c r="BM43" i="11" s="1"/>
  <c r="BN43" i="11" s="1"/>
  <c r="BO43" i="11" s="1"/>
  <c r="BP43" i="11" s="1"/>
  <c r="BQ43" i="11" s="1"/>
  <c r="BR43" i="11" s="1"/>
  <c r="BS43" i="11" s="1"/>
  <c r="BT43" i="11" s="1"/>
  <c r="BU43" i="11" s="1"/>
  <c r="BV43" i="11" s="1"/>
  <c r="BW43" i="11" s="1"/>
  <c r="BX43" i="11" s="1"/>
  <c r="BY43" i="11" s="1"/>
  <c r="BZ43" i="11" s="1"/>
  <c r="CA43" i="11" s="1"/>
  <c r="CB43" i="11" s="1"/>
  <c r="CC43" i="11" s="1"/>
  <c r="CD43" i="11" s="1"/>
  <c r="CE43" i="11" s="1"/>
  <c r="CF43" i="11" s="1"/>
  <c r="CG43" i="11" s="1"/>
  <c r="CH43" i="11" s="1"/>
  <c r="CI43" i="11" s="1"/>
  <c r="CJ43" i="11" s="1"/>
  <c r="CK43" i="11" s="1"/>
  <c r="CL43" i="11" s="1"/>
  <c r="CM43" i="11" s="1"/>
  <c r="CN43" i="11" s="1"/>
  <c r="CO43" i="11" s="1"/>
  <c r="CP43" i="11" s="1"/>
  <c r="CQ43" i="11" s="1"/>
  <c r="CR43" i="11" s="1"/>
  <c r="CS43" i="11" s="1"/>
  <c r="CT43" i="11" s="1"/>
  <c r="CU43" i="11" s="1"/>
  <c r="CV43" i="11" s="1"/>
  <c r="CW43" i="11" s="1"/>
  <c r="CX43" i="11" s="1"/>
  <c r="CY43" i="11" s="1"/>
  <c r="CZ43" i="11" s="1"/>
  <c r="DA43" i="11" s="1"/>
  <c r="DB43" i="11" s="1"/>
  <c r="DC43" i="11" s="1"/>
  <c r="DD43" i="11" s="1"/>
  <c r="DE43" i="11" s="1"/>
  <c r="DF43" i="11" s="1"/>
  <c r="DG43" i="11" s="1"/>
  <c r="DH43" i="11" s="1"/>
  <c r="DI43" i="11" s="1"/>
  <c r="DJ43" i="11" s="1"/>
  <c r="DK43" i="11" s="1"/>
  <c r="DL43" i="11" s="1"/>
  <c r="X9" i="11"/>
  <c r="AJ9" i="11" s="1"/>
  <c r="AK9" i="11" s="1"/>
  <c r="AL9" i="11" s="1"/>
  <c r="AM9" i="11" s="1"/>
  <c r="AN9" i="11" s="1"/>
  <c r="AO9" i="11" s="1"/>
  <c r="AP9" i="11" s="1"/>
  <c r="AQ9" i="11" s="1"/>
  <c r="AR9" i="11" s="1"/>
  <c r="AS9" i="11" s="1"/>
  <c r="AT9" i="11" s="1"/>
  <c r="AU9" i="11" s="1"/>
  <c r="AV9" i="11" s="1"/>
  <c r="AW9" i="11" s="1"/>
  <c r="AX9" i="11" s="1"/>
  <c r="AY9" i="11" s="1"/>
  <c r="AZ9" i="11" s="1"/>
  <c r="BA9" i="11" s="1"/>
  <c r="BB9" i="11" s="1"/>
  <c r="BC9" i="11" s="1"/>
  <c r="BD9" i="11" s="1"/>
  <c r="BE9" i="11" s="1"/>
  <c r="BF9" i="11" s="1"/>
  <c r="BG9" i="11" s="1"/>
  <c r="BH9" i="11" s="1"/>
  <c r="BI9" i="11" s="1"/>
  <c r="BJ9" i="11" s="1"/>
  <c r="BK9" i="11" s="1"/>
  <c r="BL9" i="11" s="1"/>
  <c r="BM9" i="11" s="1"/>
  <c r="BN9" i="11" s="1"/>
  <c r="BO9" i="11" s="1"/>
  <c r="BP9" i="11" s="1"/>
  <c r="BQ9" i="11" s="1"/>
  <c r="BR9" i="11" s="1"/>
  <c r="BS9" i="11" s="1"/>
  <c r="BT9" i="11" s="1"/>
  <c r="BU9" i="11" s="1"/>
  <c r="BV9" i="11" s="1"/>
  <c r="BW9" i="11" s="1"/>
  <c r="BX9" i="11" s="1"/>
  <c r="BY9" i="11" s="1"/>
  <c r="BZ9" i="11" s="1"/>
  <c r="CA9" i="11" s="1"/>
  <c r="CB9" i="11" s="1"/>
  <c r="CC9" i="11" s="1"/>
  <c r="CD9" i="11" s="1"/>
  <c r="CE9" i="11" s="1"/>
  <c r="CF9" i="11" s="1"/>
  <c r="CG9" i="11" s="1"/>
  <c r="CH9" i="11" s="1"/>
  <c r="CI9" i="11" s="1"/>
  <c r="CJ9" i="11" s="1"/>
  <c r="CK9" i="11" s="1"/>
  <c r="CL9" i="11" s="1"/>
  <c r="CM9" i="11" s="1"/>
  <c r="CN9" i="11" s="1"/>
  <c r="CO9" i="11" s="1"/>
  <c r="CP9" i="11" s="1"/>
  <c r="CQ9" i="11" s="1"/>
  <c r="CR9" i="11" s="1"/>
  <c r="CS9" i="11" s="1"/>
  <c r="CT9" i="11" s="1"/>
  <c r="CU9" i="11" s="1"/>
  <c r="CV9" i="11" s="1"/>
  <c r="CW9" i="11" s="1"/>
  <c r="CX9" i="11" s="1"/>
  <c r="CY9" i="11" s="1"/>
  <c r="CZ9" i="11" s="1"/>
  <c r="DA9" i="11" s="1"/>
  <c r="DB9" i="11" s="1"/>
  <c r="DC9" i="11" s="1"/>
  <c r="DD9" i="11" s="1"/>
  <c r="DE9" i="11" s="1"/>
  <c r="DF9" i="11" s="1"/>
  <c r="DG9" i="11" s="1"/>
  <c r="DH9" i="11" s="1"/>
  <c r="DI9" i="11" s="1"/>
  <c r="DJ9" i="11" s="1"/>
  <c r="DK9" i="11" s="1"/>
  <c r="DL9" i="11" s="1"/>
  <c r="X31" i="11"/>
  <c r="AJ31" i="11" s="1"/>
  <c r="AK31" i="11" s="1"/>
  <c r="AL31" i="11" s="1"/>
  <c r="AM31" i="11" s="1"/>
  <c r="AN31" i="11" s="1"/>
  <c r="AO31" i="11" s="1"/>
  <c r="AP31" i="11" s="1"/>
  <c r="AQ31" i="11" s="1"/>
  <c r="AR31" i="11" s="1"/>
  <c r="AS31" i="11" s="1"/>
  <c r="AT31" i="11" s="1"/>
  <c r="AU31" i="11" s="1"/>
  <c r="AV31" i="11" s="1"/>
  <c r="AW31" i="11" s="1"/>
  <c r="AX31" i="11" s="1"/>
  <c r="AY31" i="11" s="1"/>
  <c r="AZ31" i="11" s="1"/>
  <c r="BA31" i="11" s="1"/>
  <c r="BB31" i="11" s="1"/>
  <c r="BC31" i="11" s="1"/>
  <c r="BD31" i="11" s="1"/>
  <c r="BE31" i="11" s="1"/>
  <c r="BF31" i="11" s="1"/>
  <c r="BG31" i="11" s="1"/>
  <c r="BH31" i="11" s="1"/>
  <c r="BI31" i="11" s="1"/>
  <c r="BJ31" i="11" s="1"/>
  <c r="BK31" i="11" s="1"/>
  <c r="BL31" i="11" s="1"/>
  <c r="BM31" i="11" s="1"/>
  <c r="BN31" i="11" s="1"/>
  <c r="BO31" i="11" s="1"/>
  <c r="BP31" i="11" s="1"/>
  <c r="BQ31" i="11" s="1"/>
  <c r="BR31" i="11" s="1"/>
  <c r="BS31" i="11" s="1"/>
  <c r="BT31" i="11" s="1"/>
  <c r="BU31" i="11" s="1"/>
  <c r="BV31" i="11" s="1"/>
  <c r="BW31" i="11" s="1"/>
  <c r="BX31" i="11" s="1"/>
  <c r="BY31" i="11" s="1"/>
  <c r="BZ31" i="11" s="1"/>
  <c r="CA31" i="11" s="1"/>
  <c r="CB31" i="11" s="1"/>
  <c r="CC31" i="11" s="1"/>
  <c r="CD31" i="11" s="1"/>
  <c r="CE31" i="11" s="1"/>
  <c r="CF31" i="11" s="1"/>
  <c r="CG31" i="11" s="1"/>
  <c r="CH31" i="11" s="1"/>
  <c r="CI31" i="11" s="1"/>
  <c r="CJ31" i="11" s="1"/>
  <c r="CK31" i="11" s="1"/>
  <c r="CL31" i="11" s="1"/>
  <c r="CM31" i="11" s="1"/>
  <c r="CN31" i="11" s="1"/>
  <c r="CO31" i="11" s="1"/>
  <c r="CP31" i="11" s="1"/>
  <c r="CQ31" i="11" s="1"/>
  <c r="CR31" i="11" s="1"/>
  <c r="CS31" i="11" s="1"/>
  <c r="CT31" i="11" s="1"/>
  <c r="CU31" i="11" s="1"/>
  <c r="CV31" i="11" s="1"/>
  <c r="CW31" i="11" s="1"/>
  <c r="CX31" i="11" s="1"/>
  <c r="CY31" i="11" s="1"/>
  <c r="CZ31" i="11" s="1"/>
  <c r="DA31" i="11" s="1"/>
  <c r="DB31" i="11" s="1"/>
  <c r="DC31" i="11" s="1"/>
  <c r="DD31" i="11" s="1"/>
  <c r="DE31" i="11" s="1"/>
  <c r="DF31" i="11" s="1"/>
  <c r="DG31" i="11" s="1"/>
  <c r="DH31" i="11" s="1"/>
  <c r="DI31" i="11" s="1"/>
  <c r="DJ31" i="11" s="1"/>
  <c r="DK31" i="11" s="1"/>
  <c r="DL31" i="11" s="1"/>
  <c r="X25" i="11"/>
  <c r="AJ25" i="11" s="1"/>
  <c r="AK25" i="11" s="1"/>
  <c r="AL25" i="11" s="1"/>
  <c r="AM25" i="11" s="1"/>
  <c r="AN25" i="11" s="1"/>
  <c r="AO25" i="11" s="1"/>
  <c r="AP25" i="11" s="1"/>
  <c r="AQ25" i="11" s="1"/>
  <c r="AR25" i="11" s="1"/>
  <c r="AS25" i="11" s="1"/>
  <c r="AT25" i="11" s="1"/>
  <c r="AU25" i="11" s="1"/>
  <c r="AV25" i="11" s="1"/>
  <c r="AW25" i="11" s="1"/>
  <c r="AX25" i="11" s="1"/>
  <c r="AY25" i="11" s="1"/>
  <c r="AZ25" i="11" s="1"/>
  <c r="BA25" i="11" s="1"/>
  <c r="BB25" i="11" s="1"/>
  <c r="BC25" i="11" s="1"/>
  <c r="BD25" i="11" s="1"/>
  <c r="BE25" i="11" s="1"/>
  <c r="BF25" i="11" s="1"/>
  <c r="BG25" i="11" s="1"/>
  <c r="BH25" i="11" s="1"/>
  <c r="BI25" i="11" s="1"/>
  <c r="BJ25" i="11" s="1"/>
  <c r="BK25" i="11" s="1"/>
  <c r="BL25" i="11" s="1"/>
  <c r="BM25" i="11" s="1"/>
  <c r="BN25" i="11" s="1"/>
  <c r="BO25" i="11" s="1"/>
  <c r="BP25" i="11" s="1"/>
  <c r="BQ25" i="11" s="1"/>
  <c r="BR25" i="11" s="1"/>
  <c r="BS25" i="11" s="1"/>
  <c r="BT25" i="11" s="1"/>
  <c r="BU25" i="11" s="1"/>
  <c r="BV25" i="11" s="1"/>
  <c r="BW25" i="11" s="1"/>
  <c r="BX25" i="11" s="1"/>
  <c r="BY25" i="11" s="1"/>
  <c r="BZ25" i="11" s="1"/>
  <c r="CA25" i="11" s="1"/>
  <c r="CB25" i="11" s="1"/>
  <c r="CC25" i="11" s="1"/>
  <c r="CD25" i="11" s="1"/>
  <c r="CE25" i="11" s="1"/>
  <c r="CF25" i="11" s="1"/>
  <c r="CG25" i="11" s="1"/>
  <c r="CH25" i="11" s="1"/>
  <c r="CI25" i="11" s="1"/>
  <c r="CJ25" i="11" s="1"/>
  <c r="CK25" i="11" s="1"/>
  <c r="CL25" i="11" s="1"/>
  <c r="CM25" i="11" s="1"/>
  <c r="CN25" i="11" s="1"/>
  <c r="CO25" i="11" s="1"/>
  <c r="CP25" i="11" s="1"/>
  <c r="CQ25" i="11" s="1"/>
  <c r="CR25" i="11" s="1"/>
  <c r="CS25" i="11" s="1"/>
  <c r="CT25" i="11" s="1"/>
  <c r="CU25" i="11" s="1"/>
  <c r="CV25" i="11" s="1"/>
  <c r="CW25" i="11" s="1"/>
  <c r="CX25" i="11" s="1"/>
  <c r="CY25" i="11" s="1"/>
  <c r="CZ25" i="11" s="1"/>
  <c r="DA25" i="11" s="1"/>
  <c r="DB25" i="11" s="1"/>
  <c r="DC25" i="11" s="1"/>
  <c r="DD25" i="11" s="1"/>
  <c r="DE25" i="11" s="1"/>
  <c r="DF25" i="11" s="1"/>
  <c r="DG25" i="11" s="1"/>
  <c r="DH25" i="11" s="1"/>
  <c r="DI25" i="11" s="1"/>
  <c r="DJ25" i="11" s="1"/>
  <c r="DK25" i="11" s="1"/>
  <c r="DL25" i="11" s="1"/>
  <c r="X18" i="11"/>
  <c r="AJ18" i="11" s="1"/>
  <c r="AK18" i="11" s="1"/>
  <c r="AL18" i="11" s="1"/>
  <c r="AM18" i="11" s="1"/>
  <c r="AN18" i="11" s="1"/>
  <c r="AO18" i="11" s="1"/>
  <c r="AP18" i="11" s="1"/>
  <c r="AQ18" i="11" s="1"/>
  <c r="AR18" i="11" s="1"/>
  <c r="AS18" i="11" s="1"/>
  <c r="AT18" i="11" s="1"/>
  <c r="AU18" i="11" s="1"/>
  <c r="AV18" i="11" s="1"/>
  <c r="AW18" i="11" s="1"/>
  <c r="AX18" i="11" s="1"/>
  <c r="AY18" i="11" s="1"/>
  <c r="AZ18" i="11" s="1"/>
  <c r="BA18" i="11" s="1"/>
  <c r="BB18" i="11" s="1"/>
  <c r="BC18" i="11" s="1"/>
  <c r="BD18" i="11" s="1"/>
  <c r="BE18" i="11" s="1"/>
  <c r="BF18" i="11" s="1"/>
  <c r="BG18" i="11" s="1"/>
  <c r="BH18" i="11" s="1"/>
  <c r="BI18" i="11" s="1"/>
  <c r="BJ18" i="11" s="1"/>
  <c r="BK18" i="11" s="1"/>
  <c r="BL18" i="11" s="1"/>
  <c r="BM18" i="11" s="1"/>
  <c r="BN18" i="11" s="1"/>
  <c r="BO18" i="11" s="1"/>
  <c r="BP18" i="11" s="1"/>
  <c r="BQ18" i="11" s="1"/>
  <c r="BR18" i="11" s="1"/>
  <c r="BS18" i="11" s="1"/>
  <c r="BT18" i="11" s="1"/>
  <c r="BU18" i="11" s="1"/>
  <c r="BV18" i="11" s="1"/>
  <c r="BW18" i="11" s="1"/>
  <c r="BX18" i="11" s="1"/>
  <c r="BY18" i="11" s="1"/>
  <c r="BZ18" i="11" s="1"/>
  <c r="CA18" i="11" s="1"/>
  <c r="CB18" i="11" s="1"/>
  <c r="CC18" i="11" s="1"/>
  <c r="CD18" i="11" s="1"/>
  <c r="CE18" i="11" s="1"/>
  <c r="CF18" i="11" s="1"/>
  <c r="CG18" i="11" s="1"/>
  <c r="CH18" i="11" s="1"/>
  <c r="CI18" i="11" s="1"/>
  <c r="CJ18" i="11" s="1"/>
  <c r="CK18" i="11" s="1"/>
  <c r="CL18" i="11" s="1"/>
  <c r="CM18" i="11" s="1"/>
  <c r="CN18" i="11" s="1"/>
  <c r="CO18" i="11" s="1"/>
  <c r="CP18" i="11" s="1"/>
  <c r="CQ18" i="11" s="1"/>
  <c r="CR18" i="11" s="1"/>
  <c r="CS18" i="11" s="1"/>
  <c r="CT18" i="11" s="1"/>
  <c r="CU18" i="11" s="1"/>
  <c r="CV18" i="11" s="1"/>
  <c r="CW18" i="11" s="1"/>
  <c r="CX18" i="11" s="1"/>
  <c r="CY18" i="11" s="1"/>
  <c r="CZ18" i="11" s="1"/>
  <c r="DA18" i="11" s="1"/>
  <c r="DB18" i="11" s="1"/>
  <c r="DC18" i="11" s="1"/>
  <c r="DD18" i="11" s="1"/>
  <c r="DE18" i="11" s="1"/>
  <c r="DF18" i="11" s="1"/>
  <c r="DG18" i="11" s="1"/>
  <c r="DH18" i="11" s="1"/>
  <c r="DI18" i="11" s="1"/>
  <c r="DJ18" i="11" s="1"/>
  <c r="DK18" i="11" s="1"/>
  <c r="DL18" i="11" s="1"/>
  <c r="X39" i="11"/>
  <c r="AJ39" i="11" s="1"/>
  <c r="AK39" i="11" s="1"/>
  <c r="AL39" i="11" s="1"/>
  <c r="AM39" i="11" s="1"/>
  <c r="AN39" i="11" s="1"/>
  <c r="AO39" i="11" s="1"/>
  <c r="AP39" i="11" s="1"/>
  <c r="AQ39" i="11" s="1"/>
  <c r="AR39" i="11" s="1"/>
  <c r="AS39" i="11" s="1"/>
  <c r="AT39" i="11" s="1"/>
  <c r="AU39" i="11" s="1"/>
  <c r="AV39" i="11" s="1"/>
  <c r="AW39" i="11" s="1"/>
  <c r="AX39" i="11" s="1"/>
  <c r="AY39" i="11" s="1"/>
  <c r="AZ39" i="11" s="1"/>
  <c r="BA39" i="11" s="1"/>
  <c r="BB39" i="11" s="1"/>
  <c r="BC39" i="11" s="1"/>
  <c r="BD39" i="11" s="1"/>
  <c r="BE39" i="11" s="1"/>
  <c r="BF39" i="11" s="1"/>
  <c r="BG39" i="11" s="1"/>
  <c r="BH39" i="11" s="1"/>
  <c r="BI39" i="11" s="1"/>
  <c r="BJ39" i="11" s="1"/>
  <c r="BK39" i="11" s="1"/>
  <c r="BL39" i="11" s="1"/>
  <c r="BM39" i="11" s="1"/>
  <c r="BN39" i="11" s="1"/>
  <c r="BO39" i="11" s="1"/>
  <c r="BP39" i="11" s="1"/>
  <c r="BQ39" i="11" s="1"/>
  <c r="BR39" i="11" s="1"/>
  <c r="BS39" i="11" s="1"/>
  <c r="BT39" i="11" s="1"/>
  <c r="BU39" i="11" s="1"/>
  <c r="BV39" i="11" s="1"/>
  <c r="BW39" i="11" s="1"/>
  <c r="BX39" i="11" s="1"/>
  <c r="BY39" i="11" s="1"/>
  <c r="BZ39" i="11" s="1"/>
  <c r="CA39" i="11" s="1"/>
  <c r="CB39" i="11" s="1"/>
  <c r="CC39" i="11" s="1"/>
  <c r="CD39" i="11" s="1"/>
  <c r="CE39" i="11" s="1"/>
  <c r="CF39" i="11" s="1"/>
  <c r="CG39" i="11" s="1"/>
  <c r="CH39" i="11" s="1"/>
  <c r="CI39" i="11" s="1"/>
  <c r="CJ39" i="11" s="1"/>
  <c r="CK39" i="11" s="1"/>
  <c r="CL39" i="11" s="1"/>
  <c r="CM39" i="11" s="1"/>
  <c r="CN39" i="11" s="1"/>
  <c r="CO39" i="11" s="1"/>
  <c r="CP39" i="11" s="1"/>
  <c r="CQ39" i="11" s="1"/>
  <c r="CR39" i="11" s="1"/>
  <c r="CS39" i="11" s="1"/>
  <c r="CT39" i="11" s="1"/>
  <c r="CU39" i="11" s="1"/>
  <c r="CV39" i="11" s="1"/>
  <c r="CW39" i="11" s="1"/>
  <c r="CX39" i="11" s="1"/>
  <c r="CY39" i="11" s="1"/>
  <c r="CZ39" i="11" s="1"/>
  <c r="DA39" i="11" s="1"/>
  <c r="DB39" i="11" s="1"/>
  <c r="DC39" i="11" s="1"/>
  <c r="DD39" i="11" s="1"/>
  <c r="DE39" i="11" s="1"/>
  <c r="DF39" i="11" s="1"/>
  <c r="DG39" i="11" s="1"/>
  <c r="DH39" i="11" s="1"/>
  <c r="DI39" i="11" s="1"/>
  <c r="DJ39" i="11" s="1"/>
  <c r="DK39" i="11" s="1"/>
  <c r="DL39" i="11" s="1"/>
  <c r="G87" i="27" s="1" a="1"/>
  <c r="G87" i="27" s="1"/>
  <c r="X30" i="11"/>
  <c r="AJ30" i="11" s="1"/>
  <c r="X15" i="11"/>
  <c r="AJ15" i="11" s="1"/>
  <c r="AK15" i="11" s="1"/>
  <c r="AL15" i="11" s="1"/>
  <c r="AM15" i="11" s="1"/>
  <c r="AN15" i="11" s="1"/>
  <c r="AO15" i="11" s="1"/>
  <c r="AP15" i="11" s="1"/>
  <c r="AQ15" i="11" s="1"/>
  <c r="AR15" i="11" s="1"/>
  <c r="AS15" i="11" s="1"/>
  <c r="AT15" i="11" s="1"/>
  <c r="AU15" i="11" s="1"/>
  <c r="AV15" i="11" s="1"/>
  <c r="AW15" i="11" s="1"/>
  <c r="AX15" i="11" s="1"/>
  <c r="AY15" i="11" s="1"/>
  <c r="AZ15" i="11" s="1"/>
  <c r="BA15" i="11" s="1"/>
  <c r="BB15" i="11" s="1"/>
  <c r="BC15" i="11" s="1"/>
  <c r="BD15" i="11" s="1"/>
  <c r="BE15" i="11" s="1"/>
  <c r="BF15" i="11" s="1"/>
  <c r="BG15" i="11" s="1"/>
  <c r="BH15" i="11" s="1"/>
  <c r="BI15" i="11" s="1"/>
  <c r="BJ15" i="11" s="1"/>
  <c r="BK15" i="11" s="1"/>
  <c r="BL15" i="11" s="1"/>
  <c r="BM15" i="11" s="1"/>
  <c r="BN15" i="11" s="1"/>
  <c r="BO15" i="11" s="1"/>
  <c r="BP15" i="11" s="1"/>
  <c r="BQ15" i="11" s="1"/>
  <c r="BR15" i="11" s="1"/>
  <c r="BS15" i="11" s="1"/>
  <c r="BT15" i="11" s="1"/>
  <c r="BU15" i="11" s="1"/>
  <c r="BV15" i="11" s="1"/>
  <c r="BW15" i="11" s="1"/>
  <c r="BX15" i="11" s="1"/>
  <c r="BY15" i="11" s="1"/>
  <c r="BZ15" i="11" s="1"/>
  <c r="CA15" i="11" s="1"/>
  <c r="CB15" i="11" s="1"/>
  <c r="CC15" i="11" s="1"/>
  <c r="CD15" i="11" s="1"/>
  <c r="CE15" i="11" s="1"/>
  <c r="CF15" i="11" s="1"/>
  <c r="CG15" i="11" s="1"/>
  <c r="CH15" i="11" s="1"/>
  <c r="CI15" i="11" s="1"/>
  <c r="CJ15" i="11" s="1"/>
  <c r="CK15" i="11" s="1"/>
  <c r="CL15" i="11" s="1"/>
  <c r="CM15" i="11" s="1"/>
  <c r="CN15" i="11" s="1"/>
  <c r="CO15" i="11" s="1"/>
  <c r="CP15" i="11" s="1"/>
  <c r="CQ15" i="11" s="1"/>
  <c r="CR15" i="11" s="1"/>
  <c r="CS15" i="11" s="1"/>
  <c r="CT15" i="11" s="1"/>
  <c r="CU15" i="11" s="1"/>
  <c r="CV15" i="11" s="1"/>
  <c r="CW15" i="11" s="1"/>
  <c r="CX15" i="11" s="1"/>
  <c r="CY15" i="11" s="1"/>
  <c r="CZ15" i="11" s="1"/>
  <c r="DA15" i="11" s="1"/>
  <c r="DB15" i="11" s="1"/>
  <c r="DC15" i="11" s="1"/>
  <c r="DD15" i="11" s="1"/>
  <c r="DE15" i="11" s="1"/>
  <c r="DF15" i="11" s="1"/>
  <c r="DG15" i="11" s="1"/>
  <c r="DH15" i="11" s="1"/>
  <c r="DI15" i="11" s="1"/>
  <c r="DJ15" i="11" s="1"/>
  <c r="DK15" i="11" s="1"/>
  <c r="DL15" i="11" s="1"/>
  <c r="X47" i="11"/>
  <c r="AJ47" i="11" s="1"/>
  <c r="AK47" i="11" s="1"/>
  <c r="AL47" i="11" s="1"/>
  <c r="AM47" i="11" s="1"/>
  <c r="AN47" i="11" s="1"/>
  <c r="AO47" i="11" s="1"/>
  <c r="AP47" i="11" s="1"/>
  <c r="AQ47" i="11" s="1"/>
  <c r="AR47" i="11" s="1"/>
  <c r="AS47" i="11" s="1"/>
  <c r="AT47" i="11" s="1"/>
  <c r="AU47" i="11" s="1"/>
  <c r="AV47" i="11" s="1"/>
  <c r="AW47" i="11" s="1"/>
  <c r="AX47" i="11" s="1"/>
  <c r="AY47" i="11" s="1"/>
  <c r="AZ47" i="11" s="1"/>
  <c r="BA47" i="11" s="1"/>
  <c r="BB47" i="11" s="1"/>
  <c r="BC47" i="11" s="1"/>
  <c r="BD47" i="11" s="1"/>
  <c r="BE47" i="11" s="1"/>
  <c r="BF47" i="11" s="1"/>
  <c r="BG47" i="11" s="1"/>
  <c r="BH47" i="11" s="1"/>
  <c r="BI47" i="11" s="1"/>
  <c r="BJ47" i="11" s="1"/>
  <c r="BK47" i="11" s="1"/>
  <c r="BL47" i="11" s="1"/>
  <c r="BM47" i="11" s="1"/>
  <c r="BN47" i="11" s="1"/>
  <c r="BO47" i="11" s="1"/>
  <c r="BP47" i="11" s="1"/>
  <c r="BQ47" i="11" s="1"/>
  <c r="BR47" i="11" s="1"/>
  <c r="BS47" i="11" s="1"/>
  <c r="BT47" i="11" s="1"/>
  <c r="BU47" i="11" s="1"/>
  <c r="BV47" i="11" s="1"/>
  <c r="BW47" i="11" s="1"/>
  <c r="BX47" i="11" s="1"/>
  <c r="BY47" i="11" s="1"/>
  <c r="BZ47" i="11" s="1"/>
  <c r="CA47" i="11" s="1"/>
  <c r="CB47" i="11" s="1"/>
  <c r="CC47" i="11" s="1"/>
  <c r="CD47" i="11" s="1"/>
  <c r="CE47" i="11" s="1"/>
  <c r="CF47" i="11" s="1"/>
  <c r="CG47" i="11" s="1"/>
  <c r="CH47" i="11" s="1"/>
  <c r="CI47" i="11" s="1"/>
  <c r="CJ47" i="11" s="1"/>
  <c r="CK47" i="11" s="1"/>
  <c r="CL47" i="11" s="1"/>
  <c r="CM47" i="11" s="1"/>
  <c r="CN47" i="11" s="1"/>
  <c r="CO47" i="11" s="1"/>
  <c r="CP47" i="11" s="1"/>
  <c r="CQ47" i="11" s="1"/>
  <c r="CR47" i="11" s="1"/>
  <c r="CS47" i="11" s="1"/>
  <c r="CT47" i="11" s="1"/>
  <c r="CU47" i="11" s="1"/>
  <c r="CV47" i="11" s="1"/>
  <c r="CW47" i="11" s="1"/>
  <c r="CX47" i="11" s="1"/>
  <c r="CY47" i="11" s="1"/>
  <c r="CZ47" i="11" s="1"/>
  <c r="DA47" i="11" s="1"/>
  <c r="DB47" i="11" s="1"/>
  <c r="DC47" i="11" s="1"/>
  <c r="DD47" i="11" s="1"/>
  <c r="DE47" i="11" s="1"/>
  <c r="DF47" i="11" s="1"/>
  <c r="DG47" i="11" s="1"/>
  <c r="DH47" i="11" s="1"/>
  <c r="DI47" i="11" s="1"/>
  <c r="DJ47" i="11" s="1"/>
  <c r="DK47" i="11" s="1"/>
  <c r="DL47" i="11" s="1"/>
  <c r="X45" i="11"/>
  <c r="AJ45" i="11" s="1"/>
  <c r="AK45" i="11" s="1"/>
  <c r="AL45" i="11" s="1"/>
  <c r="AM45" i="11" s="1"/>
  <c r="AN45" i="11" s="1"/>
  <c r="AO45" i="11" s="1"/>
  <c r="AP45" i="11" s="1"/>
  <c r="AQ45" i="11" s="1"/>
  <c r="AR45" i="11" s="1"/>
  <c r="AS45" i="11" s="1"/>
  <c r="AT45" i="11" s="1"/>
  <c r="AU45" i="11" s="1"/>
  <c r="AV45" i="11" s="1"/>
  <c r="AW45" i="11" s="1"/>
  <c r="AX45" i="11" s="1"/>
  <c r="AY45" i="11" s="1"/>
  <c r="AZ45" i="11" s="1"/>
  <c r="BA45" i="11" s="1"/>
  <c r="BB45" i="11" s="1"/>
  <c r="BC45" i="11" s="1"/>
  <c r="BD45" i="11" s="1"/>
  <c r="BE45" i="11" s="1"/>
  <c r="BF45" i="11" s="1"/>
  <c r="BG45" i="11" s="1"/>
  <c r="BH45" i="11" s="1"/>
  <c r="BI45" i="11" s="1"/>
  <c r="BJ45" i="11" s="1"/>
  <c r="BK45" i="11" s="1"/>
  <c r="BL45" i="11" s="1"/>
  <c r="BM45" i="11" s="1"/>
  <c r="BN45" i="11" s="1"/>
  <c r="BO45" i="11" s="1"/>
  <c r="BP45" i="11" s="1"/>
  <c r="BQ45" i="11" s="1"/>
  <c r="BR45" i="11" s="1"/>
  <c r="BS45" i="11" s="1"/>
  <c r="BT45" i="11" s="1"/>
  <c r="BU45" i="11" s="1"/>
  <c r="BV45" i="11" s="1"/>
  <c r="BW45" i="11" s="1"/>
  <c r="BX45" i="11" s="1"/>
  <c r="BY45" i="11" s="1"/>
  <c r="BZ45" i="11" s="1"/>
  <c r="CA45" i="11" s="1"/>
  <c r="CB45" i="11" s="1"/>
  <c r="CC45" i="11" s="1"/>
  <c r="CD45" i="11" s="1"/>
  <c r="CE45" i="11" s="1"/>
  <c r="CF45" i="11" s="1"/>
  <c r="CG45" i="11" s="1"/>
  <c r="CH45" i="11" s="1"/>
  <c r="CI45" i="11" s="1"/>
  <c r="CJ45" i="11" s="1"/>
  <c r="CK45" i="11" s="1"/>
  <c r="CL45" i="11" s="1"/>
  <c r="CM45" i="11" s="1"/>
  <c r="CN45" i="11" s="1"/>
  <c r="CO45" i="11" s="1"/>
  <c r="CP45" i="11" s="1"/>
  <c r="CQ45" i="11" s="1"/>
  <c r="CR45" i="11" s="1"/>
  <c r="CS45" i="11" s="1"/>
  <c r="CT45" i="11" s="1"/>
  <c r="CU45" i="11" s="1"/>
  <c r="CV45" i="11" s="1"/>
  <c r="CW45" i="11" s="1"/>
  <c r="CX45" i="11" s="1"/>
  <c r="CY45" i="11" s="1"/>
  <c r="CZ45" i="11" s="1"/>
  <c r="DA45" i="11" s="1"/>
  <c r="DB45" i="11" s="1"/>
  <c r="DC45" i="11" s="1"/>
  <c r="DD45" i="11" s="1"/>
  <c r="DE45" i="11" s="1"/>
  <c r="DF45" i="11" s="1"/>
  <c r="DG45" i="11" s="1"/>
  <c r="DH45" i="11" s="1"/>
  <c r="DI45" i="11" s="1"/>
  <c r="DJ45" i="11" s="1"/>
  <c r="DK45" i="11" s="1"/>
  <c r="DL45" i="11" s="1"/>
  <c r="X14" i="11"/>
  <c r="AJ14" i="11" s="1"/>
  <c r="AK14" i="11" s="1"/>
  <c r="AL14" i="11" s="1"/>
  <c r="AM14" i="11" s="1"/>
  <c r="AN14" i="11" s="1"/>
  <c r="AO14" i="11" s="1"/>
  <c r="AP14" i="11" s="1"/>
  <c r="AQ14" i="11" s="1"/>
  <c r="AR14" i="11" s="1"/>
  <c r="AS14" i="11" s="1"/>
  <c r="AT14" i="11" s="1"/>
  <c r="AU14" i="11" s="1"/>
  <c r="AV14" i="11" s="1"/>
  <c r="AW14" i="11" s="1"/>
  <c r="AX14" i="11" s="1"/>
  <c r="AY14" i="11" s="1"/>
  <c r="AZ14" i="11" s="1"/>
  <c r="BA14" i="11" s="1"/>
  <c r="BB14" i="11" s="1"/>
  <c r="BC14" i="11" s="1"/>
  <c r="BD14" i="11" s="1"/>
  <c r="BE14" i="11" s="1"/>
  <c r="BF14" i="11" s="1"/>
  <c r="BG14" i="11" s="1"/>
  <c r="BH14" i="11" s="1"/>
  <c r="BI14" i="11" s="1"/>
  <c r="BJ14" i="11" s="1"/>
  <c r="BK14" i="11" s="1"/>
  <c r="BL14" i="11" s="1"/>
  <c r="BM14" i="11" s="1"/>
  <c r="BN14" i="11" s="1"/>
  <c r="BO14" i="11" s="1"/>
  <c r="BP14" i="11" s="1"/>
  <c r="BQ14" i="11" s="1"/>
  <c r="BR14" i="11" s="1"/>
  <c r="BS14" i="11" s="1"/>
  <c r="BT14" i="11" s="1"/>
  <c r="BU14" i="11" s="1"/>
  <c r="BV14" i="11" s="1"/>
  <c r="BW14" i="11" s="1"/>
  <c r="BX14" i="11" s="1"/>
  <c r="BY14" i="11" s="1"/>
  <c r="BZ14" i="11" s="1"/>
  <c r="CA14" i="11" s="1"/>
  <c r="CB14" i="11" s="1"/>
  <c r="CC14" i="11" s="1"/>
  <c r="CD14" i="11" s="1"/>
  <c r="CE14" i="11" s="1"/>
  <c r="CF14" i="11" s="1"/>
  <c r="CG14" i="11" s="1"/>
  <c r="CH14" i="11" s="1"/>
  <c r="CI14" i="11" s="1"/>
  <c r="CJ14" i="11" s="1"/>
  <c r="CK14" i="11" s="1"/>
  <c r="CL14" i="11" s="1"/>
  <c r="CM14" i="11" s="1"/>
  <c r="CN14" i="11" s="1"/>
  <c r="CO14" i="11" s="1"/>
  <c r="CP14" i="11" s="1"/>
  <c r="CQ14" i="11" s="1"/>
  <c r="CR14" i="11" s="1"/>
  <c r="CS14" i="11" s="1"/>
  <c r="CT14" i="11" s="1"/>
  <c r="CU14" i="11" s="1"/>
  <c r="CV14" i="11" s="1"/>
  <c r="CW14" i="11" s="1"/>
  <c r="CX14" i="11" s="1"/>
  <c r="CY14" i="11" s="1"/>
  <c r="CZ14" i="11" s="1"/>
  <c r="DA14" i="11" s="1"/>
  <c r="DB14" i="11" s="1"/>
  <c r="DC14" i="11" s="1"/>
  <c r="DD14" i="11" s="1"/>
  <c r="DE14" i="11" s="1"/>
  <c r="DF14" i="11" s="1"/>
  <c r="DG14" i="11" s="1"/>
  <c r="DH14" i="11" s="1"/>
  <c r="DI14" i="11" s="1"/>
  <c r="DJ14" i="11" s="1"/>
  <c r="DK14" i="11" s="1"/>
  <c r="DL14" i="11" s="1"/>
  <c r="X17" i="11"/>
  <c r="AJ17" i="11" s="1"/>
  <c r="AK17" i="11" s="1"/>
  <c r="AL17" i="11" s="1"/>
  <c r="AM17" i="11" s="1"/>
  <c r="AN17" i="11" s="1"/>
  <c r="AO17" i="11" s="1"/>
  <c r="AP17" i="11" s="1"/>
  <c r="AQ17" i="11" s="1"/>
  <c r="AR17" i="11" s="1"/>
  <c r="AS17" i="11" s="1"/>
  <c r="AT17" i="11" s="1"/>
  <c r="AU17" i="11" s="1"/>
  <c r="AV17" i="11" s="1"/>
  <c r="AW17" i="11" s="1"/>
  <c r="AX17" i="11" s="1"/>
  <c r="AY17" i="11" s="1"/>
  <c r="AZ17" i="11" s="1"/>
  <c r="BA17" i="11" s="1"/>
  <c r="BB17" i="11" s="1"/>
  <c r="BC17" i="11" s="1"/>
  <c r="BD17" i="11" s="1"/>
  <c r="BE17" i="11" s="1"/>
  <c r="BF17" i="11" s="1"/>
  <c r="BG17" i="11" s="1"/>
  <c r="BH17" i="11" s="1"/>
  <c r="BI17" i="11" s="1"/>
  <c r="BJ17" i="11" s="1"/>
  <c r="BK17" i="11" s="1"/>
  <c r="BL17" i="11" s="1"/>
  <c r="BM17" i="11" s="1"/>
  <c r="BN17" i="11" s="1"/>
  <c r="BO17" i="11" s="1"/>
  <c r="BP17" i="11" s="1"/>
  <c r="BQ17" i="11" s="1"/>
  <c r="BR17" i="11" s="1"/>
  <c r="BS17" i="11" s="1"/>
  <c r="BT17" i="11" s="1"/>
  <c r="BU17" i="11" s="1"/>
  <c r="BV17" i="11" s="1"/>
  <c r="BW17" i="11" s="1"/>
  <c r="BX17" i="11" s="1"/>
  <c r="BY17" i="11" s="1"/>
  <c r="BZ17" i="11" s="1"/>
  <c r="CA17" i="11" s="1"/>
  <c r="CB17" i="11" s="1"/>
  <c r="CC17" i="11" s="1"/>
  <c r="CD17" i="11" s="1"/>
  <c r="CE17" i="11" s="1"/>
  <c r="CF17" i="11" s="1"/>
  <c r="CG17" i="11" s="1"/>
  <c r="CH17" i="11" s="1"/>
  <c r="CI17" i="11" s="1"/>
  <c r="CJ17" i="11" s="1"/>
  <c r="CK17" i="11" s="1"/>
  <c r="CL17" i="11" s="1"/>
  <c r="CM17" i="11" s="1"/>
  <c r="CN17" i="11" s="1"/>
  <c r="CO17" i="11" s="1"/>
  <c r="CP17" i="11" s="1"/>
  <c r="CQ17" i="11" s="1"/>
  <c r="CR17" i="11" s="1"/>
  <c r="CS17" i="11" s="1"/>
  <c r="CT17" i="11" s="1"/>
  <c r="CU17" i="11" s="1"/>
  <c r="CV17" i="11" s="1"/>
  <c r="CW17" i="11" s="1"/>
  <c r="CX17" i="11" s="1"/>
  <c r="CY17" i="11" s="1"/>
  <c r="CZ17" i="11" s="1"/>
  <c r="DA17" i="11" s="1"/>
  <c r="DB17" i="11" s="1"/>
  <c r="DC17" i="11" s="1"/>
  <c r="DD17" i="11" s="1"/>
  <c r="DE17" i="11" s="1"/>
  <c r="DF17" i="11" s="1"/>
  <c r="DG17" i="11" s="1"/>
  <c r="DH17" i="11" s="1"/>
  <c r="DI17" i="11" s="1"/>
  <c r="DJ17" i="11" s="1"/>
  <c r="DK17" i="11" s="1"/>
  <c r="DL17" i="11" s="1"/>
  <c r="E87" i="27" s="1" a="1"/>
  <c r="E87" i="27" s="1"/>
  <c r="X46" i="11"/>
  <c r="AJ46" i="11" s="1"/>
  <c r="AK46" i="11" s="1"/>
  <c r="AL46" i="11" s="1"/>
  <c r="AM46" i="11" s="1"/>
  <c r="AN46" i="11" s="1"/>
  <c r="AO46" i="11" s="1"/>
  <c r="AP46" i="11" s="1"/>
  <c r="AQ46" i="11" s="1"/>
  <c r="AR46" i="11" s="1"/>
  <c r="AS46" i="11" s="1"/>
  <c r="AT46" i="11" s="1"/>
  <c r="AU46" i="11" s="1"/>
  <c r="AV46" i="11" s="1"/>
  <c r="AW46" i="11" s="1"/>
  <c r="AX46" i="11" s="1"/>
  <c r="AY46" i="11" s="1"/>
  <c r="AZ46" i="11" s="1"/>
  <c r="BA46" i="11" s="1"/>
  <c r="BB46" i="11" s="1"/>
  <c r="BC46" i="11" s="1"/>
  <c r="BD46" i="11" s="1"/>
  <c r="BE46" i="11" s="1"/>
  <c r="BF46" i="11" s="1"/>
  <c r="BG46" i="11" s="1"/>
  <c r="BH46" i="11" s="1"/>
  <c r="BI46" i="11" s="1"/>
  <c r="BJ46" i="11" s="1"/>
  <c r="BK46" i="11" s="1"/>
  <c r="BL46" i="11" s="1"/>
  <c r="BM46" i="11" s="1"/>
  <c r="BN46" i="11" s="1"/>
  <c r="BO46" i="11" s="1"/>
  <c r="BP46" i="11" s="1"/>
  <c r="BQ46" i="11" s="1"/>
  <c r="BR46" i="11" s="1"/>
  <c r="BS46" i="11" s="1"/>
  <c r="BT46" i="11" s="1"/>
  <c r="BU46" i="11" s="1"/>
  <c r="BV46" i="11" s="1"/>
  <c r="BW46" i="11" s="1"/>
  <c r="BX46" i="11" s="1"/>
  <c r="BY46" i="11" s="1"/>
  <c r="BZ46" i="11" s="1"/>
  <c r="CA46" i="11" s="1"/>
  <c r="CB46" i="11" s="1"/>
  <c r="CC46" i="11" s="1"/>
  <c r="CD46" i="11" s="1"/>
  <c r="CE46" i="11" s="1"/>
  <c r="CF46" i="11" s="1"/>
  <c r="CG46" i="11" s="1"/>
  <c r="CH46" i="11" s="1"/>
  <c r="CI46" i="11" s="1"/>
  <c r="CJ46" i="11" s="1"/>
  <c r="CK46" i="11" s="1"/>
  <c r="CL46" i="11" s="1"/>
  <c r="CM46" i="11" s="1"/>
  <c r="CN46" i="11" s="1"/>
  <c r="CO46" i="11" s="1"/>
  <c r="CP46" i="11" s="1"/>
  <c r="CQ46" i="11" s="1"/>
  <c r="CR46" i="11" s="1"/>
  <c r="CS46" i="11" s="1"/>
  <c r="CT46" i="11" s="1"/>
  <c r="CU46" i="11" s="1"/>
  <c r="CV46" i="11" s="1"/>
  <c r="CW46" i="11" s="1"/>
  <c r="CX46" i="11" s="1"/>
  <c r="CY46" i="11" s="1"/>
  <c r="CZ46" i="11" s="1"/>
  <c r="DA46" i="11" s="1"/>
  <c r="DB46" i="11" s="1"/>
  <c r="DC46" i="11" s="1"/>
  <c r="DD46" i="11" s="1"/>
  <c r="DE46" i="11" s="1"/>
  <c r="DF46" i="11" s="1"/>
  <c r="DG46" i="11" s="1"/>
  <c r="DH46" i="11" s="1"/>
  <c r="DI46" i="11" s="1"/>
  <c r="DJ46" i="11" s="1"/>
  <c r="DK46" i="11" s="1"/>
  <c r="DL46" i="11" s="1"/>
  <c r="Q6" i="11"/>
  <c r="X13" i="27" l="1"/>
  <c r="Y13" i="27"/>
  <c r="Z13" i="27"/>
  <c r="W13" i="27"/>
  <c r="W12" i="27"/>
  <c r="X12" i="27"/>
  <c r="Y12" i="27"/>
  <c r="Z12" i="27"/>
  <c r="AK16" i="27"/>
  <c r="AC15" i="27"/>
  <c r="AB15" i="27"/>
  <c r="U14" i="27"/>
  <c r="AE14" i="27"/>
  <c r="BA17" i="27"/>
  <c r="AN16" i="27"/>
  <c r="AK30" i="11"/>
  <c r="F7" i="27" a="1"/>
  <c r="F7" i="27" s="1"/>
  <c r="H87" i="27" a="1"/>
  <c r="H87" i="27" s="1"/>
  <c r="BN10" i="11"/>
  <c r="BO10" i="11" s="1"/>
  <c r="BP10" i="11" s="1"/>
  <c r="BQ10" i="11" s="1"/>
  <c r="BR10" i="11" s="1"/>
  <c r="BS10" i="11" s="1"/>
  <c r="BT10" i="11" s="1"/>
  <c r="BU10" i="11" s="1"/>
  <c r="BV10" i="11" s="1"/>
  <c r="BW10" i="11" s="1"/>
  <c r="BX10" i="11" s="1"/>
  <c r="BY10" i="11" s="1"/>
  <c r="BZ10" i="11" s="1"/>
  <c r="CA10" i="11" s="1"/>
  <c r="CB10" i="11" s="1"/>
  <c r="CC10" i="11" s="1"/>
  <c r="CD10" i="11" s="1"/>
  <c r="CE10" i="11" s="1"/>
  <c r="CF10" i="11" s="1"/>
  <c r="CG10" i="11" s="1"/>
  <c r="CH10" i="11" s="1"/>
  <c r="CI10" i="11" s="1"/>
  <c r="CJ10" i="11" s="1"/>
  <c r="CK10" i="11" s="1"/>
  <c r="CL10" i="11" s="1"/>
  <c r="CM10" i="11" s="1"/>
  <c r="CN10" i="11" s="1"/>
  <c r="CO10" i="11" s="1"/>
  <c r="CP10" i="11" s="1"/>
  <c r="CQ10" i="11" s="1"/>
  <c r="CR10" i="11" s="1"/>
  <c r="CS10" i="11" s="1"/>
  <c r="CT10" i="11" s="1"/>
  <c r="CU10" i="11" s="1"/>
  <c r="CV10" i="11" s="1"/>
  <c r="CW10" i="11" s="1"/>
  <c r="CX10" i="11" s="1"/>
  <c r="CY10" i="11" s="1"/>
  <c r="CZ10" i="11" s="1"/>
  <c r="DA10" i="11" s="1"/>
  <c r="DB10" i="11" s="1"/>
  <c r="DC10" i="11" s="1"/>
  <c r="DD10" i="11" s="1"/>
  <c r="DE10" i="11" s="1"/>
  <c r="DF10" i="11" s="1"/>
  <c r="DG10" i="11" s="1"/>
  <c r="DH10" i="11" s="1"/>
  <c r="DI10" i="11" s="1"/>
  <c r="DJ10" i="11" s="1"/>
  <c r="DK10" i="11" s="1"/>
  <c r="DL10" i="11" s="1"/>
  <c r="BN4" i="11"/>
  <c r="BO4" i="11" s="1"/>
  <c r="BP4" i="11" s="1"/>
  <c r="BQ4" i="11" s="1"/>
  <c r="BR4" i="11" s="1"/>
  <c r="BS4" i="11" s="1"/>
  <c r="BT4" i="11" s="1"/>
  <c r="BU4" i="11" s="1"/>
  <c r="BV4" i="11" s="1"/>
  <c r="BW4" i="11" s="1"/>
  <c r="BX4" i="11" s="1"/>
  <c r="BY4" i="11" s="1"/>
  <c r="BZ4" i="11" s="1"/>
  <c r="CA4" i="11" s="1"/>
  <c r="CB4" i="11" s="1"/>
  <c r="CC4" i="11" s="1"/>
  <c r="CD4" i="11" s="1"/>
  <c r="CE4" i="11" s="1"/>
  <c r="CF4" i="11" s="1"/>
  <c r="CG4" i="11" s="1"/>
  <c r="CH4" i="11" s="1"/>
  <c r="CI4" i="11" s="1"/>
  <c r="CJ4" i="11" s="1"/>
  <c r="CK4" i="11" s="1"/>
  <c r="CL4" i="11" s="1"/>
  <c r="CM4" i="11" s="1"/>
  <c r="CN4" i="11" s="1"/>
  <c r="CO4" i="11" s="1"/>
  <c r="CP4" i="11" s="1"/>
  <c r="CQ4" i="11" s="1"/>
  <c r="CR4" i="11" s="1"/>
  <c r="CS4" i="11" s="1"/>
  <c r="CT4" i="11" s="1"/>
  <c r="CU4" i="11" s="1"/>
  <c r="CV4" i="11" s="1"/>
  <c r="CW4" i="11" s="1"/>
  <c r="CX4" i="11" s="1"/>
  <c r="CY4" i="11" s="1"/>
  <c r="CZ4" i="11" s="1"/>
  <c r="DA4" i="11" s="1"/>
  <c r="DB4" i="11" s="1"/>
  <c r="DC4" i="11" s="1"/>
  <c r="DD4" i="11" s="1"/>
  <c r="DE4" i="11" s="1"/>
  <c r="DF4" i="11" s="1"/>
  <c r="DG4" i="11" s="1"/>
  <c r="DH4" i="11" s="1"/>
  <c r="DI4" i="11" s="1"/>
  <c r="DJ4" i="11" s="1"/>
  <c r="DK4" i="11" s="1"/>
  <c r="DL4" i="11" s="1"/>
  <c r="H7" i="27" a="1"/>
  <c r="H7" i="27" s="1"/>
  <c r="AM18" i="27"/>
  <c r="CG20" i="27"/>
  <c r="BQ22" i="27"/>
  <c r="AI28" i="27"/>
  <c r="AA27" i="27"/>
  <c r="AD27" i="27" s="1"/>
  <c r="AG8" i="16"/>
  <c r="K28" i="27"/>
  <c r="AU49" i="27"/>
  <c r="H8" i="27" a="1"/>
  <c r="H8" i="27" s="1"/>
  <c r="CD13" i="16"/>
  <c r="AG12" i="16"/>
  <c r="X6" i="11"/>
  <c r="AJ6" i="11" s="1"/>
  <c r="S6" i="11"/>
  <c r="Z6" i="11" s="1"/>
  <c r="S7" i="11"/>
  <c r="Z7" i="11" s="1"/>
  <c r="T7" i="11"/>
  <c r="AA7" i="11" s="1"/>
  <c r="U7" i="11"/>
  <c r="AB7" i="11" s="1"/>
  <c r="U6" i="11"/>
  <c r="AB6" i="11" s="1"/>
  <c r="AK17" i="27" l="1"/>
  <c r="AC16" i="27"/>
  <c r="AB16" i="27"/>
  <c r="BA18" i="27"/>
  <c r="AN17" i="27"/>
  <c r="AE15" i="27"/>
  <c r="V14" i="27"/>
  <c r="U15" i="27"/>
  <c r="BD7" i="11"/>
  <c r="BE7" i="11" s="1"/>
  <c r="BF7" i="11" s="1"/>
  <c r="BG7" i="11" s="1"/>
  <c r="BH7" i="11" s="1"/>
  <c r="BI7" i="11" s="1"/>
  <c r="BJ7" i="11" s="1"/>
  <c r="BK7" i="11" s="1"/>
  <c r="BL7" i="11" s="1"/>
  <c r="BM7" i="11" s="1"/>
  <c r="BN7" i="11" s="1"/>
  <c r="BO7" i="11" s="1"/>
  <c r="BP7" i="11" s="1"/>
  <c r="BQ7" i="11" s="1"/>
  <c r="BR7" i="11" s="1"/>
  <c r="BS7" i="11" s="1"/>
  <c r="BT7" i="11" s="1"/>
  <c r="BU7" i="11" s="1"/>
  <c r="BV7" i="11" s="1"/>
  <c r="BW7" i="11" s="1"/>
  <c r="BX7" i="11" s="1"/>
  <c r="BY7" i="11" s="1"/>
  <c r="BZ7" i="11" s="1"/>
  <c r="CA7" i="11" s="1"/>
  <c r="CB7" i="11" s="1"/>
  <c r="CC7" i="11" s="1"/>
  <c r="CD7" i="11" s="1"/>
  <c r="CE7" i="11" s="1"/>
  <c r="CF7" i="11" s="1"/>
  <c r="CG7" i="11" s="1"/>
  <c r="CH7" i="11" s="1"/>
  <c r="CI7" i="11" s="1"/>
  <c r="CJ7" i="11" s="1"/>
  <c r="CK7" i="11" s="1"/>
  <c r="CL7" i="11" s="1"/>
  <c r="CM7" i="11" s="1"/>
  <c r="CN7" i="11" s="1"/>
  <c r="CO7" i="11" s="1"/>
  <c r="CP7" i="11" s="1"/>
  <c r="CQ7" i="11" s="1"/>
  <c r="CR7" i="11" s="1"/>
  <c r="CS7" i="11" s="1"/>
  <c r="CT7" i="11" s="1"/>
  <c r="CU7" i="11" s="1"/>
  <c r="CV7" i="11" s="1"/>
  <c r="CW7" i="11" s="1"/>
  <c r="CX7" i="11" s="1"/>
  <c r="CY7" i="11" s="1"/>
  <c r="CZ7" i="11" s="1"/>
  <c r="DA7" i="11" s="1"/>
  <c r="DB7" i="11" s="1"/>
  <c r="DC7" i="11" s="1"/>
  <c r="DD7" i="11" s="1"/>
  <c r="DE7" i="11" s="1"/>
  <c r="DF7" i="11" s="1"/>
  <c r="DG7" i="11" s="1"/>
  <c r="DH7" i="11" s="1"/>
  <c r="DI7" i="11" s="1"/>
  <c r="DJ7" i="11" s="1"/>
  <c r="DK7" i="11" s="1"/>
  <c r="DL7" i="11" s="1"/>
  <c r="AL30" i="11"/>
  <c r="F8" i="27" a="1"/>
  <c r="F8" i="27" s="1"/>
  <c r="AK6" i="11"/>
  <c r="D7" i="27" a="1"/>
  <c r="D7" i="27" s="1"/>
  <c r="G7" i="27" a="1"/>
  <c r="G7" i="27" s="1"/>
  <c r="E7" i="27" a="1"/>
  <c r="E7" i="27" s="1"/>
  <c r="AM19" i="27"/>
  <c r="AH8" i="16"/>
  <c r="K29" i="27"/>
  <c r="AI29" i="27"/>
  <c r="AA28" i="27"/>
  <c r="AD28" i="27" s="1"/>
  <c r="BQ23" i="27"/>
  <c r="CG21" i="27"/>
  <c r="AU50" i="27"/>
  <c r="G8" i="27" a="1"/>
  <c r="G8" i="27" s="1"/>
  <c r="E8" i="27" a="1"/>
  <c r="E8" i="27" s="1"/>
  <c r="CE13" i="16"/>
  <c r="AH12" i="16"/>
  <c r="AA5" i="11"/>
  <c r="BD5" i="11" s="1"/>
  <c r="BE5" i="11" s="1"/>
  <c r="BF5" i="11" s="1"/>
  <c r="BG5" i="11" s="1"/>
  <c r="BH5" i="11" s="1"/>
  <c r="BI5" i="11" s="1"/>
  <c r="BJ5" i="11" s="1"/>
  <c r="BK5" i="11" s="1"/>
  <c r="BL5" i="11" s="1"/>
  <c r="BM5" i="11" s="1"/>
  <c r="Z14" i="27" l="1"/>
  <c r="Y14" i="27"/>
  <c r="W14" i="27"/>
  <c r="X14" i="27"/>
  <c r="BA19" i="27"/>
  <c r="AN18" i="27"/>
  <c r="V15" i="27"/>
  <c r="U16" i="27"/>
  <c r="AE16" i="27"/>
  <c r="AK18" i="27"/>
  <c r="AC17" i="27"/>
  <c r="AB17" i="27"/>
  <c r="AM30" i="11"/>
  <c r="F9" i="27" a="1"/>
  <c r="F9" i="27" s="1"/>
  <c r="BN5" i="11"/>
  <c r="BO5" i="11" s="1"/>
  <c r="BP5" i="11" s="1"/>
  <c r="BQ5" i="11" s="1"/>
  <c r="BR5" i="11" s="1"/>
  <c r="BS5" i="11" s="1"/>
  <c r="BT5" i="11" s="1"/>
  <c r="BU5" i="11" s="1"/>
  <c r="BV5" i="11" s="1"/>
  <c r="BW5" i="11" s="1"/>
  <c r="BX5" i="11" s="1"/>
  <c r="BY5" i="11" s="1"/>
  <c r="BZ5" i="11" s="1"/>
  <c r="CA5" i="11" s="1"/>
  <c r="CB5" i="11" s="1"/>
  <c r="CC5" i="11" s="1"/>
  <c r="CD5" i="11" s="1"/>
  <c r="CE5" i="11" s="1"/>
  <c r="CF5" i="11" s="1"/>
  <c r="CG5" i="11" s="1"/>
  <c r="CH5" i="11" s="1"/>
  <c r="CI5" i="11" s="1"/>
  <c r="CJ5" i="11" s="1"/>
  <c r="CK5" i="11" s="1"/>
  <c r="CL5" i="11" s="1"/>
  <c r="CM5" i="11" s="1"/>
  <c r="CN5" i="11" s="1"/>
  <c r="CO5" i="11" s="1"/>
  <c r="CP5" i="11" s="1"/>
  <c r="CQ5" i="11" s="1"/>
  <c r="CR5" i="11" s="1"/>
  <c r="CS5" i="11" s="1"/>
  <c r="CT5" i="11" s="1"/>
  <c r="CU5" i="11" s="1"/>
  <c r="CV5" i="11" s="1"/>
  <c r="CW5" i="11" s="1"/>
  <c r="CX5" i="11" s="1"/>
  <c r="CY5" i="11" s="1"/>
  <c r="CZ5" i="11" s="1"/>
  <c r="DA5" i="11" s="1"/>
  <c r="DB5" i="11" s="1"/>
  <c r="DC5" i="11" s="1"/>
  <c r="DD5" i="11" s="1"/>
  <c r="DE5" i="11" s="1"/>
  <c r="DF5" i="11" s="1"/>
  <c r="DG5" i="11" s="1"/>
  <c r="DH5" i="11" s="1"/>
  <c r="DI5" i="11" s="1"/>
  <c r="DJ5" i="11" s="1"/>
  <c r="DK5" i="11" s="1"/>
  <c r="DL5" i="11" s="1"/>
  <c r="AL6" i="11"/>
  <c r="D8" i="27" a="1"/>
  <c r="D8" i="27" s="1"/>
  <c r="I8" i="27" s="1"/>
  <c r="I7" i="27"/>
  <c r="H9" i="27" a="1"/>
  <c r="H9" i="27" s="1"/>
  <c r="AM20" i="27"/>
  <c r="AI30" i="27"/>
  <c r="AA29" i="27"/>
  <c r="AD29" i="27" s="1"/>
  <c r="CG22" i="27"/>
  <c r="BQ24" i="27"/>
  <c r="AI8" i="16"/>
  <c r="K30" i="27"/>
  <c r="AU51" i="27"/>
  <c r="H10" i="27" a="1"/>
  <c r="H10" i="27" s="1"/>
  <c r="G9" i="27" a="1"/>
  <c r="G9" i="27" s="1"/>
  <c r="CF13" i="16"/>
  <c r="AI12" i="16"/>
  <c r="AC18" i="27" l="1"/>
  <c r="AK19" i="27"/>
  <c r="AB18" i="27"/>
  <c r="Z15" i="27"/>
  <c r="Y15" i="27"/>
  <c r="W15" i="27"/>
  <c r="X15" i="27"/>
  <c r="BA20" i="27"/>
  <c r="AN19" i="27"/>
  <c r="U17" i="27"/>
  <c r="AE17" i="27"/>
  <c r="V16" i="27"/>
  <c r="M7" i="27"/>
  <c r="N7" i="27" s="1"/>
  <c r="AN30" i="11"/>
  <c r="F10" i="27" a="1"/>
  <c r="F10" i="27" s="1"/>
  <c r="AM6" i="11"/>
  <c r="D9" i="27" a="1"/>
  <c r="D9" i="27" s="1"/>
  <c r="E9" i="27" a="1"/>
  <c r="E9" i="27" s="1"/>
  <c r="AM21" i="27"/>
  <c r="CG23" i="27"/>
  <c r="AJ8" i="16"/>
  <c r="K31" i="27"/>
  <c r="AI31" i="27"/>
  <c r="AA30" i="27"/>
  <c r="AD30" i="27" s="1"/>
  <c r="BQ25" i="27"/>
  <c r="AU52" i="27"/>
  <c r="M8" i="27"/>
  <c r="N8" i="27" s="1"/>
  <c r="O8" i="27" s="1"/>
  <c r="H11" i="27" a="1"/>
  <c r="H11" i="27" s="1"/>
  <c r="CG13" i="16"/>
  <c r="AJ12" i="16"/>
  <c r="BA21" i="27" l="1"/>
  <c r="AN20" i="27"/>
  <c r="V17" i="27"/>
  <c r="U18" i="27"/>
  <c r="AE18" i="27"/>
  <c r="AC19" i="27"/>
  <c r="AK20" i="27"/>
  <c r="AB19" i="27"/>
  <c r="X16" i="27"/>
  <c r="Z16" i="27"/>
  <c r="Y16" i="27"/>
  <c r="W16" i="27"/>
  <c r="AO30" i="11"/>
  <c r="F11" i="27" a="1"/>
  <c r="F11" i="27" s="1"/>
  <c r="I9" i="27"/>
  <c r="M9" i="27" s="1"/>
  <c r="N9" i="27" s="1"/>
  <c r="O9" i="27" s="1"/>
  <c r="AN6" i="11"/>
  <c r="D10" i="27" a="1"/>
  <c r="D10" i="27" s="1"/>
  <c r="G10" i="27" a="1"/>
  <c r="G10" i="27" s="1"/>
  <c r="E10" i="27" a="1"/>
  <c r="E10" i="27" s="1"/>
  <c r="O7" i="27"/>
  <c r="AM22" i="27"/>
  <c r="BQ26" i="27"/>
  <c r="AK8" i="16"/>
  <c r="K32" i="27"/>
  <c r="CG24" i="27"/>
  <c r="AA31" i="27"/>
  <c r="AD31" i="27" s="1"/>
  <c r="AI32" i="27"/>
  <c r="AU53" i="27"/>
  <c r="P7" i="27"/>
  <c r="G11" i="27" a="1"/>
  <c r="G11" i="27" s="1"/>
  <c r="CH13" i="16"/>
  <c r="AK12" i="16"/>
  <c r="AC20" i="27" l="1"/>
  <c r="AK21" i="27"/>
  <c r="AB20" i="27"/>
  <c r="Z17" i="27"/>
  <c r="Y17" i="27"/>
  <c r="X17" i="27"/>
  <c r="W17" i="27"/>
  <c r="V18" i="27"/>
  <c r="AE19" i="27"/>
  <c r="U19" i="27"/>
  <c r="BA22" i="27"/>
  <c r="AN21" i="27"/>
  <c r="AP30" i="11"/>
  <c r="F12" i="27" a="1"/>
  <c r="F12" i="27" s="1"/>
  <c r="AO6" i="11"/>
  <c r="D11" i="27" a="1"/>
  <c r="D11" i="27" s="1"/>
  <c r="I10" i="27"/>
  <c r="M10" i="27" s="1"/>
  <c r="N10" i="27" s="1"/>
  <c r="E11" i="27" a="1"/>
  <c r="E11" i="27" s="1"/>
  <c r="H12" i="27" a="1"/>
  <c r="H12" i="27" s="1"/>
  <c r="AM23" i="27"/>
  <c r="CG25" i="27"/>
  <c r="BQ27" i="27"/>
  <c r="AL8" i="16"/>
  <c r="K33" i="27"/>
  <c r="AA32" i="27"/>
  <c r="AD32" i="27" s="1"/>
  <c r="AI33" i="27"/>
  <c r="AU54" i="27"/>
  <c r="P8" i="27"/>
  <c r="R8" i="27" s="1"/>
  <c r="T7" i="27"/>
  <c r="S7" i="27"/>
  <c r="Q7" i="27"/>
  <c r="R7" i="27"/>
  <c r="G12" i="27" a="1"/>
  <c r="G12" i="27" s="1"/>
  <c r="E12" i="27" a="1"/>
  <c r="E12" i="27" s="1"/>
  <c r="H13" i="27" a="1"/>
  <c r="H13" i="27" s="1"/>
  <c r="CI13" i="16"/>
  <c r="AL12" i="16"/>
  <c r="BA23" i="27" l="1"/>
  <c r="AN22" i="27"/>
  <c r="AC21" i="27"/>
  <c r="AK22" i="27"/>
  <c r="AB21" i="27"/>
  <c r="W18" i="27"/>
  <c r="X18" i="27"/>
  <c r="Y18" i="27"/>
  <c r="Z18" i="27"/>
  <c r="U20" i="27"/>
  <c r="V19" i="27"/>
  <c r="AE20" i="27"/>
  <c r="AQ30" i="11"/>
  <c r="F13" i="27" a="1"/>
  <c r="F13" i="27" s="1"/>
  <c r="I11" i="27"/>
  <c r="M11" i="27" s="1"/>
  <c r="N11" i="27" s="1"/>
  <c r="O10" i="27"/>
  <c r="AP6" i="11"/>
  <c r="D12" i="27" a="1"/>
  <c r="D12" i="27" s="1"/>
  <c r="I12" i="27" s="1"/>
  <c r="AM24" i="27"/>
  <c r="BQ28" i="27"/>
  <c r="CG26" i="27"/>
  <c r="AM8" i="16"/>
  <c r="K34" i="27"/>
  <c r="AI34" i="27"/>
  <c r="AA33" i="27"/>
  <c r="AD33" i="27" s="1"/>
  <c r="AU55" i="27"/>
  <c r="T8" i="27"/>
  <c r="Q8" i="27"/>
  <c r="S8" i="27"/>
  <c r="P9" i="27"/>
  <c r="G13" i="27" a="1"/>
  <c r="G13" i="27" s="1"/>
  <c r="CJ13" i="16"/>
  <c r="AM12" i="16"/>
  <c r="U21" i="27" l="1"/>
  <c r="AE21" i="27"/>
  <c r="V20" i="27"/>
  <c r="W19" i="27"/>
  <c r="Z19" i="27"/>
  <c r="Y19" i="27"/>
  <c r="X19" i="27"/>
  <c r="AK23" i="27"/>
  <c r="AC22" i="27"/>
  <c r="AB22" i="27"/>
  <c r="BA24" i="27"/>
  <c r="AN23" i="27"/>
  <c r="AR30" i="11"/>
  <c r="F14" i="27" a="1"/>
  <c r="F14" i="27" s="1"/>
  <c r="AQ6" i="11"/>
  <c r="D13" i="27" a="1"/>
  <c r="D13" i="27" s="1"/>
  <c r="O11" i="27"/>
  <c r="E13" i="27" a="1"/>
  <c r="E13" i="27" s="1"/>
  <c r="H14" i="27" a="1"/>
  <c r="H14" i="27" s="1"/>
  <c r="AM25" i="27"/>
  <c r="CG27" i="27"/>
  <c r="AN8" i="16"/>
  <c r="K35" i="27"/>
  <c r="AA34" i="27"/>
  <c r="AD34" i="27" s="1"/>
  <c r="AI35" i="27"/>
  <c r="BQ29" i="27"/>
  <c r="AU56" i="27"/>
  <c r="P10" i="27"/>
  <c r="Q9" i="27"/>
  <c r="S9" i="27"/>
  <c r="R9" i="27"/>
  <c r="T9" i="27"/>
  <c r="M12" i="27"/>
  <c r="N12" i="27" s="1"/>
  <c r="G14" i="27" a="1"/>
  <c r="G14" i="27" s="1"/>
  <c r="E14" i="27" a="1"/>
  <c r="E14" i="27" s="1"/>
  <c r="H15" i="27" a="1"/>
  <c r="H15" i="27" s="1"/>
  <c r="CK13" i="16"/>
  <c r="AN12" i="16"/>
  <c r="BA25" i="27" l="1"/>
  <c r="AN24" i="27"/>
  <c r="W20" i="27"/>
  <c r="X20" i="27"/>
  <c r="Z20" i="27"/>
  <c r="Y20" i="27"/>
  <c r="AE22" i="27"/>
  <c r="U22" i="27"/>
  <c r="V21" i="27"/>
  <c r="AC23" i="27"/>
  <c r="AK24" i="27"/>
  <c r="AB23" i="27"/>
  <c r="V22" i="27" s="1"/>
  <c r="AS30" i="11"/>
  <c r="F15" i="27" a="1"/>
  <c r="F15" i="27" s="1"/>
  <c r="Q10" i="27"/>
  <c r="O12" i="27"/>
  <c r="I13" i="27"/>
  <c r="M13" i="27" s="1"/>
  <c r="N13" i="27" s="1"/>
  <c r="O13" i="27" s="1"/>
  <c r="AR6" i="11"/>
  <c r="D14" i="27" a="1"/>
  <c r="D14" i="27" s="1"/>
  <c r="I14" i="27" s="1"/>
  <c r="AM26" i="27"/>
  <c r="AO8" i="16"/>
  <c r="K36" i="27"/>
  <c r="AA35" i="27"/>
  <c r="AD35" i="27" s="1"/>
  <c r="AI36" i="27"/>
  <c r="CG28" i="27"/>
  <c r="BQ30" i="27"/>
  <c r="AU57" i="27"/>
  <c r="AU58" i="27" s="1"/>
  <c r="AU59" i="27" s="1"/>
  <c r="AU60" i="27" s="1"/>
  <c r="AU61" i="27" s="1"/>
  <c r="AU62" i="27" s="1"/>
  <c r="AU63" i="27" s="1"/>
  <c r="AU64" i="27" s="1"/>
  <c r="AU65" i="27" s="1"/>
  <c r="AU66" i="27" s="1"/>
  <c r="AU67" i="27" s="1"/>
  <c r="AU68" i="27" s="1"/>
  <c r="AU69" i="27" s="1"/>
  <c r="AU70" i="27" s="1"/>
  <c r="AU71" i="27" s="1"/>
  <c r="AU72" i="27" s="1"/>
  <c r="AU73" i="27" s="1"/>
  <c r="AU74" i="27" s="1"/>
  <c r="AU75" i="27" s="1"/>
  <c r="AU76" i="27" s="1"/>
  <c r="AU77" i="27" s="1"/>
  <c r="AU78" i="27" s="1"/>
  <c r="AU79" i="27" s="1"/>
  <c r="AU80" i="27" s="1"/>
  <c r="AU81" i="27" s="1"/>
  <c r="AU82" i="27" s="1"/>
  <c r="AU83" i="27" s="1"/>
  <c r="AU84" i="27" s="1"/>
  <c r="AU85" i="27" s="1"/>
  <c r="AU86" i="27" s="1"/>
  <c r="AU87" i="27" s="1"/>
  <c r="AH37" i="8" s="1"/>
  <c r="T10" i="27"/>
  <c r="S10" i="27"/>
  <c r="R10" i="27"/>
  <c r="P11" i="27"/>
  <c r="H16" i="27" a="1"/>
  <c r="H16" i="27" s="1"/>
  <c r="E15" i="27" a="1"/>
  <c r="E15" i="27" s="1"/>
  <c r="G15" i="27" a="1"/>
  <c r="G15" i="27" s="1"/>
  <c r="CL13" i="16"/>
  <c r="AO12" i="16"/>
  <c r="X22" i="27" l="1"/>
  <c r="W22" i="27"/>
  <c r="Z22" i="27"/>
  <c r="Y22" i="27"/>
  <c r="Y21" i="27"/>
  <c r="X21" i="27"/>
  <c r="Z21" i="27"/>
  <c r="W21" i="27"/>
  <c r="AK25" i="27"/>
  <c r="AC24" i="27"/>
  <c r="AB24" i="27"/>
  <c r="BA26" i="27"/>
  <c r="AN25" i="27"/>
  <c r="AE23" i="27"/>
  <c r="U23" i="27"/>
  <c r="AT30" i="11"/>
  <c r="F16" i="27" a="1"/>
  <c r="F16" i="27" s="1"/>
  <c r="AS6" i="11"/>
  <c r="D15" i="27" a="1"/>
  <c r="D15" i="27" s="1"/>
  <c r="I15" i="27" s="1"/>
  <c r="AM27" i="27"/>
  <c r="BQ31" i="27"/>
  <c r="AP8" i="16"/>
  <c r="K37" i="27"/>
  <c r="CG29" i="27"/>
  <c r="AI37" i="27"/>
  <c r="AA36" i="27"/>
  <c r="AD36" i="27" s="1"/>
  <c r="P12" i="27"/>
  <c r="M14" i="27"/>
  <c r="N14" i="27" s="1"/>
  <c r="Q11" i="27"/>
  <c r="S11" i="27"/>
  <c r="T11" i="27"/>
  <c r="R11" i="27"/>
  <c r="G16" i="27" a="1"/>
  <c r="G16" i="27" s="1"/>
  <c r="E16" i="27" a="1"/>
  <c r="E16" i="27" s="1"/>
  <c r="H17" i="27" a="1"/>
  <c r="H17" i="27" s="1"/>
  <c r="CM13" i="16"/>
  <c r="AP12" i="16"/>
  <c r="BA27" i="27" l="1"/>
  <c r="AN26" i="27"/>
  <c r="AE24" i="27"/>
  <c r="U24" i="27"/>
  <c r="V23" i="27"/>
  <c r="AK26" i="27"/>
  <c r="AC25" i="27"/>
  <c r="AB25" i="27"/>
  <c r="AU30" i="11"/>
  <c r="F17" i="27" a="1"/>
  <c r="F17" i="27" s="1"/>
  <c r="O14" i="27"/>
  <c r="AT6" i="11"/>
  <c r="D16" i="27" a="1"/>
  <c r="D16" i="27" s="1"/>
  <c r="I16" i="27" s="1"/>
  <c r="AM28" i="27"/>
  <c r="AQ8" i="16"/>
  <c r="K38" i="27"/>
  <c r="AI38" i="27"/>
  <c r="AA37" i="27"/>
  <c r="AD37" i="27" s="1"/>
  <c r="BQ32" i="27"/>
  <c r="CG30" i="27"/>
  <c r="M15" i="27"/>
  <c r="N15" i="27" s="1"/>
  <c r="O15" i="27" s="1"/>
  <c r="P13" i="27"/>
  <c r="R12" i="27"/>
  <c r="T12" i="27"/>
  <c r="Q12" i="27"/>
  <c r="S12" i="27"/>
  <c r="H18" i="27" a="1"/>
  <c r="H18" i="27" s="1"/>
  <c r="E17" i="27" a="1"/>
  <c r="E17" i="27" s="1"/>
  <c r="G17" i="27" a="1"/>
  <c r="G17" i="27" s="1"/>
  <c r="AQ12" i="16"/>
  <c r="Z23" i="27" l="1"/>
  <c r="Y23" i="27"/>
  <c r="W23" i="27"/>
  <c r="X23" i="27"/>
  <c r="U25" i="27"/>
  <c r="V24" i="27"/>
  <c r="AE25" i="27"/>
  <c r="AK27" i="27"/>
  <c r="AC26" i="27"/>
  <c r="AB26" i="27"/>
  <c r="BA28" i="27"/>
  <c r="AN27" i="27"/>
  <c r="AV30" i="11"/>
  <c r="F18" i="27" a="1"/>
  <c r="F18" i="27" s="1"/>
  <c r="AU6" i="11"/>
  <c r="D17" i="27" a="1"/>
  <c r="D17" i="27" s="1"/>
  <c r="I17" i="27" s="1"/>
  <c r="AM29" i="27"/>
  <c r="AR8" i="16"/>
  <c r="K39" i="27"/>
  <c r="CG31" i="27"/>
  <c r="BQ33" i="27"/>
  <c r="AI39" i="27"/>
  <c r="AA38" i="27"/>
  <c r="AD38" i="27" s="1"/>
  <c r="P14" i="27"/>
  <c r="T14" i="27" s="1"/>
  <c r="M16" i="27"/>
  <c r="N16" i="27" s="1"/>
  <c r="O16" i="27" s="1"/>
  <c r="Q13" i="27"/>
  <c r="S13" i="27"/>
  <c r="R13" i="27"/>
  <c r="T13" i="27"/>
  <c r="G18" i="27" a="1"/>
  <c r="G18" i="27" s="1"/>
  <c r="E18" i="27" a="1"/>
  <c r="E18" i="27" s="1"/>
  <c r="H19" i="27" a="1"/>
  <c r="H19" i="27" s="1"/>
  <c r="AR12" i="16"/>
  <c r="U26" i="27" l="1"/>
  <c r="AE26" i="27"/>
  <c r="AK28" i="27"/>
  <c r="AC27" i="27"/>
  <c r="AB27" i="27"/>
  <c r="V26" i="27" s="1"/>
  <c r="X24" i="27"/>
  <c r="W24" i="27"/>
  <c r="Z24" i="27"/>
  <c r="Y24" i="27"/>
  <c r="BA29" i="27"/>
  <c r="AN28" i="27"/>
  <c r="V25" i="27"/>
  <c r="AW30" i="11"/>
  <c r="F19" i="27" a="1"/>
  <c r="F19" i="27" s="1"/>
  <c r="AV6" i="11"/>
  <c r="D18" i="27" a="1"/>
  <c r="D18" i="27" s="1"/>
  <c r="I18" i="27" s="1"/>
  <c r="AM30" i="27"/>
  <c r="BQ34" i="27"/>
  <c r="CG32" i="27"/>
  <c r="AS8" i="16"/>
  <c r="K40" i="27"/>
  <c r="AA39" i="27"/>
  <c r="AD39" i="27" s="1"/>
  <c r="AI40" i="27"/>
  <c r="S14" i="27"/>
  <c r="Q14" i="27"/>
  <c r="R14" i="27"/>
  <c r="M17" i="27"/>
  <c r="N17" i="27" s="1"/>
  <c r="O17" i="27" s="1"/>
  <c r="P15" i="27"/>
  <c r="H20" i="27" a="1"/>
  <c r="H20" i="27" s="1"/>
  <c r="E19" i="27" a="1"/>
  <c r="E19" i="27" s="1"/>
  <c r="G19" i="27" a="1"/>
  <c r="G19" i="27" s="1"/>
  <c r="AS12" i="16"/>
  <c r="Z26" i="27" l="1"/>
  <c r="Y26" i="27"/>
  <c r="AE27" i="27"/>
  <c r="U27" i="27"/>
  <c r="BA30" i="27"/>
  <c r="AN29" i="27"/>
  <c r="W26" i="27"/>
  <c r="X26" i="27"/>
  <c r="AC28" i="27"/>
  <c r="AK29" i="27"/>
  <c r="AB28" i="27"/>
  <c r="Y25" i="27"/>
  <c r="X25" i="27"/>
  <c r="Z25" i="27"/>
  <c r="W25" i="27"/>
  <c r="AX30" i="11"/>
  <c r="F20" i="27" a="1"/>
  <c r="F20" i="27" s="1"/>
  <c r="AW6" i="11"/>
  <c r="D19" i="27" a="1"/>
  <c r="D19" i="27" s="1"/>
  <c r="I19" i="27" s="1"/>
  <c r="AM31" i="27"/>
  <c r="CG33" i="27"/>
  <c r="BQ35" i="27"/>
  <c r="AI41" i="27"/>
  <c r="AA40" i="27"/>
  <c r="AD40" i="27" s="1"/>
  <c r="AT8" i="16"/>
  <c r="K41" i="27"/>
  <c r="P16" i="27"/>
  <c r="M18" i="27"/>
  <c r="N18" i="27" s="1"/>
  <c r="O18" i="27" s="1"/>
  <c r="Q15" i="27"/>
  <c r="T15" i="27"/>
  <c r="S15" i="27"/>
  <c r="R15" i="27"/>
  <c r="G20" i="27" a="1"/>
  <c r="G20" i="27" s="1"/>
  <c r="E20" i="27" a="1"/>
  <c r="E20" i="27" s="1"/>
  <c r="H21" i="27" a="1"/>
  <c r="H21" i="27" s="1"/>
  <c r="AT12" i="16"/>
  <c r="AC29" i="27" l="1"/>
  <c r="AK30" i="27"/>
  <c r="AB29" i="27"/>
  <c r="V28" i="27" s="1"/>
  <c r="Y28" i="27" s="1"/>
  <c r="BA31" i="27"/>
  <c r="AN30" i="27"/>
  <c r="V27" i="27"/>
  <c r="U28" i="27"/>
  <c r="AE28" i="27"/>
  <c r="AY30" i="11"/>
  <c r="F21" i="27" a="1"/>
  <c r="F21" i="27" s="1"/>
  <c r="AX6" i="11"/>
  <c r="D20" i="27" a="1"/>
  <c r="D20" i="27" s="1"/>
  <c r="I20" i="27" s="1"/>
  <c r="AM32" i="27"/>
  <c r="AU8" i="16"/>
  <c r="K42" i="27"/>
  <c r="BQ36" i="27"/>
  <c r="AI42" i="27"/>
  <c r="AA41" i="27"/>
  <c r="AD41" i="27" s="1"/>
  <c r="CG34" i="27"/>
  <c r="P17" i="27"/>
  <c r="T17" i="27" s="1"/>
  <c r="M19" i="27"/>
  <c r="N19" i="27" s="1"/>
  <c r="O19" i="27" s="1"/>
  <c r="R16" i="27"/>
  <c r="Q16" i="27"/>
  <c r="S16" i="27"/>
  <c r="T16" i="27"/>
  <c r="H22" i="27" a="1"/>
  <c r="H22" i="27" s="1"/>
  <c r="E21" i="27" a="1"/>
  <c r="E21" i="27" s="1"/>
  <c r="G21" i="27" a="1"/>
  <c r="G21" i="27" s="1"/>
  <c r="AU12" i="16"/>
  <c r="W28" i="27" l="1"/>
  <c r="BA32" i="27"/>
  <c r="AN31" i="27"/>
  <c r="Z28" i="27"/>
  <c r="X28" i="27"/>
  <c r="X27" i="27"/>
  <c r="Y27" i="27"/>
  <c r="W27" i="27"/>
  <c r="Z27" i="27"/>
  <c r="U29" i="27"/>
  <c r="AE29" i="27"/>
  <c r="AK31" i="27"/>
  <c r="AC30" i="27"/>
  <c r="AB30" i="27"/>
  <c r="V29" i="27" s="1"/>
  <c r="X29" i="27" s="1"/>
  <c r="AZ30" i="11"/>
  <c r="F22" i="27" a="1"/>
  <c r="F22" i="27" s="1"/>
  <c r="AY6" i="11"/>
  <c r="D21" i="27" a="1"/>
  <c r="D21" i="27" s="1"/>
  <c r="I21" i="27" s="1"/>
  <c r="AM33" i="27"/>
  <c r="CG35" i="27"/>
  <c r="AI43" i="27"/>
  <c r="AA42" i="27"/>
  <c r="AD42" i="27" s="1"/>
  <c r="BQ37" i="27"/>
  <c r="AV8" i="16"/>
  <c r="K43" i="27"/>
  <c r="Q17" i="27"/>
  <c r="S17" i="27"/>
  <c r="R17" i="27"/>
  <c r="P18" i="27"/>
  <c r="M20" i="27"/>
  <c r="N20" i="27" s="1"/>
  <c r="O20" i="27" s="1"/>
  <c r="G22" i="27" a="1"/>
  <c r="G22" i="27" s="1"/>
  <c r="E22" i="27" a="1"/>
  <c r="E22" i="27" s="1"/>
  <c r="H23" i="27" a="1"/>
  <c r="H23" i="27" s="1"/>
  <c r="AV12" i="16"/>
  <c r="AK32" i="27" l="1"/>
  <c r="AC31" i="27"/>
  <c r="AB31" i="27"/>
  <c r="Z29" i="27"/>
  <c r="AE30" i="27"/>
  <c r="U30" i="27"/>
  <c r="Y29" i="27"/>
  <c r="W29" i="27"/>
  <c r="BA33" i="27"/>
  <c r="AN32" i="27"/>
  <c r="BA30" i="11"/>
  <c r="F23" i="27" a="1"/>
  <c r="F23" i="27" s="1"/>
  <c r="AZ6" i="11"/>
  <c r="D22" i="27" a="1"/>
  <c r="D22" i="27" s="1"/>
  <c r="I22" i="27" s="1"/>
  <c r="AM34" i="27"/>
  <c r="BQ38" i="27"/>
  <c r="CG36" i="27"/>
  <c r="AW8" i="16"/>
  <c r="K44" i="27"/>
  <c r="AI44" i="27"/>
  <c r="AA43" i="27"/>
  <c r="AD43" i="27" s="1"/>
  <c r="M21" i="27"/>
  <c r="N21" i="27" s="1"/>
  <c r="O21" i="27" s="1"/>
  <c r="P19" i="27"/>
  <c r="R18" i="27"/>
  <c r="T18" i="27"/>
  <c r="Q18" i="27"/>
  <c r="S18" i="27"/>
  <c r="H24" i="27" a="1"/>
  <c r="H24" i="27" s="1"/>
  <c r="E23" i="27" a="1"/>
  <c r="E23" i="27" s="1"/>
  <c r="G23" i="27" a="1"/>
  <c r="G23" i="27" s="1"/>
  <c r="AW12" i="16"/>
  <c r="BA34" i="27" l="1"/>
  <c r="AN33" i="27"/>
  <c r="V30" i="27"/>
  <c r="U31" i="27"/>
  <c r="AE31" i="27"/>
  <c r="AK33" i="27"/>
  <c r="AC32" i="27"/>
  <c r="AB32" i="27"/>
  <c r="BB30" i="11"/>
  <c r="F24" i="27" a="1"/>
  <c r="F24" i="27" s="1"/>
  <c r="BA6" i="11"/>
  <c r="D23" i="27" a="1"/>
  <c r="D23" i="27" s="1"/>
  <c r="I23" i="27" s="1"/>
  <c r="AM35" i="27"/>
  <c r="AX8" i="16"/>
  <c r="K45" i="27"/>
  <c r="BQ39" i="27"/>
  <c r="CG37" i="27"/>
  <c r="AI45" i="27"/>
  <c r="AA44" i="27"/>
  <c r="AD44" i="27" s="1"/>
  <c r="P20" i="27"/>
  <c r="Q20" i="27" s="1"/>
  <c r="M22" i="27"/>
  <c r="N22" i="27" s="1"/>
  <c r="O22" i="27" s="1"/>
  <c r="T19" i="27"/>
  <c r="Q19" i="27"/>
  <c r="S19" i="27"/>
  <c r="R19" i="27"/>
  <c r="G24" i="27" a="1"/>
  <c r="G24" i="27" s="1"/>
  <c r="E24" i="27" a="1"/>
  <c r="E24" i="27" s="1"/>
  <c r="H25" i="27" a="1"/>
  <c r="H25" i="27" s="1"/>
  <c r="AX12" i="16"/>
  <c r="X30" i="27" l="1"/>
  <c r="Z30" i="27"/>
  <c r="Y30" i="27"/>
  <c r="W30" i="27"/>
  <c r="AK34" i="27"/>
  <c r="AC33" i="27"/>
  <c r="AB33" i="27"/>
  <c r="BA35" i="27"/>
  <c r="AN34" i="27"/>
  <c r="AE32" i="27"/>
  <c r="U32" i="27"/>
  <c r="V31" i="27"/>
  <c r="BC30" i="11"/>
  <c r="F25" i="27" a="1"/>
  <c r="F25" i="27" s="1"/>
  <c r="BB6" i="11"/>
  <c r="D24" i="27" a="1"/>
  <c r="D24" i="27" s="1"/>
  <c r="I24" i="27" s="1"/>
  <c r="AM36" i="27"/>
  <c r="BQ40" i="27"/>
  <c r="AA45" i="27"/>
  <c r="AD45" i="27" s="1"/>
  <c r="AI46" i="27"/>
  <c r="AY8" i="16"/>
  <c r="K46" i="27"/>
  <c r="CG38" i="27"/>
  <c r="R20" i="27"/>
  <c r="T20" i="27"/>
  <c r="P21" i="27"/>
  <c r="M23" i="27"/>
  <c r="N23" i="27" s="1"/>
  <c r="O23" i="27" s="1"/>
  <c r="S20" i="27"/>
  <c r="H26" i="27" a="1"/>
  <c r="H26" i="27" s="1"/>
  <c r="E25" i="27" a="1"/>
  <c r="E25" i="27" s="1"/>
  <c r="G25" i="27" a="1"/>
  <c r="G25" i="27" s="1"/>
  <c r="AY12" i="16"/>
  <c r="BA36" i="27" l="1"/>
  <c r="AN35" i="27"/>
  <c r="V32" i="27"/>
  <c r="AE33" i="27"/>
  <c r="U33" i="27"/>
  <c r="AK35" i="27"/>
  <c r="AC34" i="27"/>
  <c r="AB34" i="27"/>
  <c r="W31" i="27"/>
  <c r="Y31" i="27"/>
  <c r="Z31" i="27"/>
  <c r="X31" i="27"/>
  <c r="BD30" i="11"/>
  <c r="F26" i="27" a="1"/>
  <c r="F26" i="27" s="1"/>
  <c r="BC6" i="11"/>
  <c r="D25" i="27" a="1"/>
  <c r="D25" i="27" s="1"/>
  <c r="I25" i="27" s="1"/>
  <c r="AM37" i="27"/>
  <c r="CG39" i="27"/>
  <c r="BQ41" i="27"/>
  <c r="AI47" i="27"/>
  <c r="AA46" i="27"/>
  <c r="AD46" i="27" s="1"/>
  <c r="AZ8" i="16"/>
  <c r="K47" i="27"/>
  <c r="M24" i="27"/>
  <c r="N24" i="27" s="1"/>
  <c r="O24" i="27" s="1"/>
  <c r="P22" i="27"/>
  <c r="Q21" i="27"/>
  <c r="T21" i="27"/>
  <c r="R21" i="27"/>
  <c r="S21" i="27"/>
  <c r="G26" i="27" a="1"/>
  <c r="G26" i="27" s="1"/>
  <c r="E26" i="27" a="1"/>
  <c r="E26" i="27" s="1"/>
  <c r="H27" i="27" a="1"/>
  <c r="H27" i="27" s="1"/>
  <c r="AZ12" i="16"/>
  <c r="AE34" i="27" l="1"/>
  <c r="V33" i="27"/>
  <c r="U34" i="27"/>
  <c r="Y32" i="27"/>
  <c r="W32" i="27"/>
  <c r="X32" i="27"/>
  <c r="Z32" i="27"/>
  <c r="AK36" i="27"/>
  <c r="AC35" i="27"/>
  <c r="AB35" i="27"/>
  <c r="BA37" i="27"/>
  <c r="AN36" i="27"/>
  <c r="BE30" i="11"/>
  <c r="F27" i="27" a="1"/>
  <c r="F27" i="27" s="1"/>
  <c r="BD6" i="11"/>
  <c r="D26" i="27" a="1"/>
  <c r="D26" i="27" s="1"/>
  <c r="I26" i="27" s="1"/>
  <c r="AM38" i="27"/>
  <c r="BA8" i="16"/>
  <c r="K48" i="27"/>
  <c r="BQ42" i="27"/>
  <c r="CG40" i="27"/>
  <c r="AI48" i="27"/>
  <c r="AA47" i="27"/>
  <c r="AD47" i="27" s="1"/>
  <c r="P23" i="27"/>
  <c r="S23" i="27" s="1"/>
  <c r="M25" i="27"/>
  <c r="N25" i="27" s="1"/>
  <c r="O25" i="27" s="1"/>
  <c r="S22" i="27"/>
  <c r="T22" i="27"/>
  <c r="R22" i="27"/>
  <c r="Q22" i="27"/>
  <c r="H28" i="27" a="1"/>
  <c r="H28" i="27" s="1"/>
  <c r="E27" i="27" a="1"/>
  <c r="E27" i="27" s="1"/>
  <c r="G27" i="27" a="1"/>
  <c r="G27" i="27" s="1"/>
  <c r="BA12" i="16"/>
  <c r="V34" i="27" l="1"/>
  <c r="AE35" i="27"/>
  <c r="U35" i="27"/>
  <c r="BA38" i="27"/>
  <c r="AN37" i="27"/>
  <c r="AK37" i="27"/>
  <c r="AC36" i="27"/>
  <c r="AB36" i="27"/>
  <c r="Z33" i="27"/>
  <c r="W33" i="27"/>
  <c r="Y33" i="27"/>
  <c r="X33" i="27"/>
  <c r="BF30" i="11"/>
  <c r="F28" i="27" a="1"/>
  <c r="F28" i="27" s="1"/>
  <c r="BE6" i="11"/>
  <c r="D27" i="27" a="1"/>
  <c r="D27" i="27" s="1"/>
  <c r="I27" i="27" s="1"/>
  <c r="AM39" i="27"/>
  <c r="CG41" i="27"/>
  <c r="BQ43" i="27"/>
  <c r="AI49" i="27"/>
  <c r="AA48" i="27"/>
  <c r="AD48" i="27" s="1"/>
  <c r="BB8" i="16"/>
  <c r="K49" i="27"/>
  <c r="T23" i="27"/>
  <c r="Q23" i="27"/>
  <c r="R23" i="27"/>
  <c r="P24" i="27"/>
  <c r="M26" i="27"/>
  <c r="N26" i="27" s="1"/>
  <c r="O26" i="27" s="1"/>
  <c r="G28" i="27" a="1"/>
  <c r="G28" i="27" s="1"/>
  <c r="E28" i="27" a="1"/>
  <c r="E28" i="27" s="1"/>
  <c r="H29" i="27" a="1"/>
  <c r="H29" i="27" s="1"/>
  <c r="BB12" i="16"/>
  <c r="U36" i="27" l="1"/>
  <c r="AE36" i="27"/>
  <c r="V35" i="27"/>
  <c r="BA39" i="27"/>
  <c r="AN38" i="27"/>
  <c r="AC37" i="27"/>
  <c r="AK38" i="27"/>
  <c r="AB37" i="27"/>
  <c r="Z34" i="27"/>
  <c r="X34" i="27"/>
  <c r="Y34" i="27"/>
  <c r="W34" i="27"/>
  <c r="BG30" i="11"/>
  <c r="F29" i="27" a="1"/>
  <c r="F29" i="27" s="1"/>
  <c r="BF6" i="11"/>
  <c r="D28" i="27" a="1"/>
  <c r="D28" i="27" s="1"/>
  <c r="I28" i="27" s="1"/>
  <c r="M28" i="27" s="1"/>
  <c r="N28" i="27" s="1"/>
  <c r="O28" i="27" s="1"/>
  <c r="AM40" i="27"/>
  <c r="BQ44" i="27"/>
  <c r="CG42" i="27"/>
  <c r="AI50" i="27"/>
  <c r="AA49" i="27"/>
  <c r="AD49" i="27" s="1"/>
  <c r="BC8" i="16"/>
  <c r="K50" i="27"/>
  <c r="P25" i="27"/>
  <c r="M27" i="27"/>
  <c r="N27" i="27" s="1"/>
  <c r="O27" i="27" s="1"/>
  <c r="T24" i="27"/>
  <c r="R24" i="27"/>
  <c r="S24" i="27"/>
  <c r="Q24" i="27"/>
  <c r="H30" i="27" a="1"/>
  <c r="H30" i="27" s="1"/>
  <c r="E29" i="27" a="1"/>
  <c r="E29" i="27" s="1"/>
  <c r="G29" i="27" a="1"/>
  <c r="G29" i="27" s="1"/>
  <c r="BC12" i="16"/>
  <c r="V36" i="27" l="1"/>
  <c r="AE37" i="27"/>
  <c r="U37" i="27"/>
  <c r="BA40" i="27"/>
  <c r="AN39" i="27"/>
  <c r="Y35" i="27"/>
  <c r="W35" i="27"/>
  <c r="X35" i="27"/>
  <c r="Z35" i="27"/>
  <c r="AK39" i="27"/>
  <c r="AC38" i="27"/>
  <c r="AB38" i="27"/>
  <c r="V37" i="27" s="1"/>
  <c r="BH30" i="11"/>
  <c r="F30" i="27" a="1"/>
  <c r="F30" i="27" s="1"/>
  <c r="BG6" i="11"/>
  <c r="D29" i="27" a="1"/>
  <c r="D29" i="27" s="1"/>
  <c r="I29" i="27" s="1"/>
  <c r="M29" i="27" s="1"/>
  <c r="N29" i="27" s="1"/>
  <c r="O29" i="27" s="1"/>
  <c r="AM41" i="27"/>
  <c r="BD8" i="16"/>
  <c r="K51" i="27"/>
  <c r="BQ45" i="27"/>
  <c r="AI51" i="27"/>
  <c r="AA50" i="27"/>
  <c r="AD50" i="27" s="1"/>
  <c r="CG43" i="27"/>
  <c r="P27" i="27"/>
  <c r="T27" i="27" s="1"/>
  <c r="P26" i="27"/>
  <c r="R25" i="27"/>
  <c r="Q25" i="27"/>
  <c r="S25" i="27"/>
  <c r="T25" i="27"/>
  <c r="G30" i="27" a="1"/>
  <c r="G30" i="27" s="1"/>
  <c r="E30" i="27" a="1"/>
  <c r="E30" i="27" s="1"/>
  <c r="H31" i="27" a="1"/>
  <c r="H31" i="27" s="1"/>
  <c r="BD12" i="16"/>
  <c r="X37" i="27" l="1"/>
  <c r="Z37" i="27"/>
  <c r="W37" i="27"/>
  <c r="Y37" i="27"/>
  <c r="AK40" i="27"/>
  <c r="AC39" i="27"/>
  <c r="AB39" i="27"/>
  <c r="BA41" i="27"/>
  <c r="AN40" i="27"/>
  <c r="U38" i="27"/>
  <c r="AE38" i="27"/>
  <c r="W36" i="27"/>
  <c r="X36" i="27"/>
  <c r="Z36" i="27"/>
  <c r="Y36" i="27"/>
  <c r="BI30" i="11"/>
  <c r="F31" i="27" a="1"/>
  <c r="F31" i="27" s="1"/>
  <c r="BH6" i="11"/>
  <c r="D30" i="27" a="1"/>
  <c r="D30" i="27" s="1"/>
  <c r="I30" i="27" s="1"/>
  <c r="M30" i="27" s="1"/>
  <c r="N30" i="27" s="1"/>
  <c r="O30" i="27" s="1"/>
  <c r="AM42" i="27"/>
  <c r="CG44" i="27"/>
  <c r="AA51" i="27"/>
  <c r="AD51" i="27" s="1"/>
  <c r="AI52" i="27"/>
  <c r="BQ46" i="27"/>
  <c r="BE8" i="16"/>
  <c r="K52" i="27"/>
  <c r="R27" i="27"/>
  <c r="S27" i="27"/>
  <c r="Q27" i="27"/>
  <c r="S26" i="27"/>
  <c r="T26" i="27"/>
  <c r="Q26" i="27"/>
  <c r="R26" i="27"/>
  <c r="P28" i="27"/>
  <c r="H32" i="27" a="1"/>
  <c r="H32" i="27" s="1"/>
  <c r="E31" i="27" a="1"/>
  <c r="E31" i="27" s="1"/>
  <c r="G31" i="27" a="1"/>
  <c r="G31" i="27" s="1"/>
  <c r="BE12" i="16"/>
  <c r="BA42" i="27" l="1"/>
  <c r="AN41" i="27"/>
  <c r="AE39" i="27"/>
  <c r="U39" i="27"/>
  <c r="V38" i="27"/>
  <c r="AC40" i="27"/>
  <c r="AK41" i="27"/>
  <c r="AB40" i="27"/>
  <c r="BJ30" i="11"/>
  <c r="F32" i="27" a="1"/>
  <c r="F32" i="27" s="1"/>
  <c r="BI6" i="11"/>
  <c r="D31" i="27" a="1"/>
  <c r="D31" i="27" s="1"/>
  <c r="I31" i="27" s="1"/>
  <c r="M31" i="27" s="1"/>
  <c r="N31" i="27" s="1"/>
  <c r="O31" i="27" s="1"/>
  <c r="AM43" i="27"/>
  <c r="BQ47" i="27"/>
  <c r="AI53" i="27"/>
  <c r="AA52" i="27"/>
  <c r="AD52" i="27" s="1"/>
  <c r="BF8" i="16"/>
  <c r="K53" i="27"/>
  <c r="CG45" i="27"/>
  <c r="P29" i="27"/>
  <c r="R29" i="27" s="1"/>
  <c r="T28" i="27"/>
  <c r="R28" i="27"/>
  <c r="Q28" i="27"/>
  <c r="S28" i="27"/>
  <c r="G32" i="27" a="1"/>
  <c r="G32" i="27" s="1"/>
  <c r="E32" i="27" a="1"/>
  <c r="E32" i="27" s="1"/>
  <c r="H33" i="27" a="1"/>
  <c r="H33" i="27" s="1"/>
  <c r="BF12" i="16"/>
  <c r="AE40" i="27" l="1"/>
  <c r="V39" i="27"/>
  <c r="U40" i="27"/>
  <c r="Z38" i="27"/>
  <c r="X38" i="27"/>
  <c r="Y38" i="27"/>
  <c r="W38" i="27"/>
  <c r="AK42" i="27"/>
  <c r="AC41" i="27"/>
  <c r="AB41" i="27"/>
  <c r="V40" i="27" s="1"/>
  <c r="Z40" i="27" s="1"/>
  <c r="BA43" i="27"/>
  <c r="AN42" i="27"/>
  <c r="BK30" i="11"/>
  <c r="F33" i="27" a="1"/>
  <c r="F33" i="27" s="1"/>
  <c r="BJ6" i="11"/>
  <c r="D32" i="27" a="1"/>
  <c r="D32" i="27" s="1"/>
  <c r="I32" i="27" s="1"/>
  <c r="M32" i="27" s="1"/>
  <c r="N32" i="27" s="1"/>
  <c r="O32" i="27" s="1"/>
  <c r="AM44" i="27"/>
  <c r="Q29" i="27"/>
  <c r="S29" i="27"/>
  <c r="T29" i="27"/>
  <c r="CG46" i="27"/>
  <c r="BG8" i="16"/>
  <c r="K54" i="27"/>
  <c r="BQ48" i="27"/>
  <c r="AI54" i="27"/>
  <c r="AA53" i="27"/>
  <c r="AD53" i="27" s="1"/>
  <c r="P30" i="27"/>
  <c r="H34" i="27" a="1"/>
  <c r="H34" i="27" s="1"/>
  <c r="E33" i="27" a="1"/>
  <c r="E33" i="27" s="1"/>
  <c r="G33" i="27" a="1"/>
  <c r="G33" i="27" s="1"/>
  <c r="BG12" i="16"/>
  <c r="AE41" i="27" l="1"/>
  <c r="U41" i="27"/>
  <c r="W40" i="27"/>
  <c r="AC42" i="27"/>
  <c r="AK43" i="27"/>
  <c r="AB42" i="27"/>
  <c r="Y40" i="27"/>
  <c r="X40" i="27"/>
  <c r="W39" i="27"/>
  <c r="Z39" i="27"/>
  <c r="Y39" i="27"/>
  <c r="X39" i="27"/>
  <c r="BA44" i="27"/>
  <c r="AN43" i="27"/>
  <c r="BL30" i="11"/>
  <c r="F34" i="27" a="1"/>
  <c r="F34" i="27" s="1"/>
  <c r="BK6" i="11"/>
  <c r="D33" i="27" a="1"/>
  <c r="D33" i="27" s="1"/>
  <c r="I33" i="27" s="1"/>
  <c r="M33" i="27" s="1"/>
  <c r="N33" i="27" s="1"/>
  <c r="O33" i="27" s="1"/>
  <c r="AM45" i="27"/>
  <c r="BH8" i="16"/>
  <c r="K55" i="27"/>
  <c r="CG47" i="27"/>
  <c r="BQ49" i="27"/>
  <c r="AA54" i="27"/>
  <c r="AD54" i="27" s="1"/>
  <c r="AI55" i="27"/>
  <c r="P31" i="27"/>
  <c r="T31" i="27" s="1"/>
  <c r="Q30" i="27"/>
  <c r="R30" i="27"/>
  <c r="T30" i="27"/>
  <c r="S30" i="27"/>
  <c r="G34" i="27" a="1"/>
  <c r="G34" i="27" s="1"/>
  <c r="E34" i="27" a="1"/>
  <c r="E34" i="27" s="1"/>
  <c r="H35" i="27" a="1"/>
  <c r="H35" i="27" s="1"/>
  <c r="BH12" i="16"/>
  <c r="V41" i="27" l="1"/>
  <c r="U42" i="27"/>
  <c r="AE42" i="27"/>
  <c r="AK44" i="27"/>
  <c r="AC43" i="27"/>
  <c r="AB43" i="27"/>
  <c r="BA45" i="27"/>
  <c r="AN44" i="27"/>
  <c r="BM30" i="11"/>
  <c r="F35" i="27" a="1"/>
  <c r="F35" i="27" s="1"/>
  <c r="BL6" i="11"/>
  <c r="D34" i="27" a="1"/>
  <c r="D34" i="27" s="1"/>
  <c r="I34" i="27" s="1"/>
  <c r="M34" i="27" s="1"/>
  <c r="N34" i="27" s="1"/>
  <c r="O34" i="27" s="1"/>
  <c r="AM46" i="27"/>
  <c r="CG48" i="27"/>
  <c r="BI8" i="16"/>
  <c r="K56" i="27"/>
  <c r="Q31" i="27"/>
  <c r="R31" i="27"/>
  <c r="S31" i="27"/>
  <c r="BQ50" i="27"/>
  <c r="AI56" i="27"/>
  <c r="AA55" i="27"/>
  <c r="AD55" i="27" s="1"/>
  <c r="P32" i="27"/>
  <c r="H36" i="27" a="1"/>
  <c r="H36" i="27" s="1"/>
  <c r="E35" i="27" a="1"/>
  <c r="E35" i="27" s="1"/>
  <c r="G35" i="27" a="1"/>
  <c r="G35" i="27" s="1"/>
  <c r="BI12" i="16"/>
  <c r="X41" i="27" l="1"/>
  <c r="BA46" i="27"/>
  <c r="AN45" i="27"/>
  <c r="U43" i="27"/>
  <c r="V42" i="27"/>
  <c r="AE43" i="27"/>
  <c r="AK45" i="27"/>
  <c r="AC44" i="27"/>
  <c r="AB44" i="27"/>
  <c r="Z41" i="27"/>
  <c r="Y41" i="27"/>
  <c r="W41" i="27"/>
  <c r="BN30" i="11"/>
  <c r="F36" i="27" a="1"/>
  <c r="F36" i="27" s="1"/>
  <c r="BM6" i="11"/>
  <c r="D35" i="27" a="1"/>
  <c r="D35" i="27" s="1"/>
  <c r="I35" i="27" s="1"/>
  <c r="AM47" i="27"/>
  <c r="CG49" i="27"/>
  <c r="AA56" i="27"/>
  <c r="AD56" i="27" s="1"/>
  <c r="AI57" i="27"/>
  <c r="BJ8" i="16"/>
  <c r="K57" i="27"/>
  <c r="BQ51" i="27"/>
  <c r="P33" i="27"/>
  <c r="S33" i="27" s="1"/>
  <c r="S32" i="27"/>
  <c r="R32" i="27"/>
  <c r="Q32" i="27"/>
  <c r="T32" i="27"/>
  <c r="G36" i="27" a="1"/>
  <c r="G36" i="27" s="1"/>
  <c r="E36" i="27" a="1"/>
  <c r="E36" i="27" s="1"/>
  <c r="H37" i="27" a="1"/>
  <c r="H37" i="27" s="1"/>
  <c r="BJ12" i="16"/>
  <c r="BK12" i="16" s="1"/>
  <c r="BL12" i="16" s="1"/>
  <c r="BM12" i="16" s="1"/>
  <c r="BN12" i="16" s="1"/>
  <c r="BO12" i="16" s="1"/>
  <c r="BP12" i="16" s="1"/>
  <c r="BQ12" i="16" s="1"/>
  <c r="BR12" i="16" s="1"/>
  <c r="BS12" i="16" s="1"/>
  <c r="BT12" i="16" s="1"/>
  <c r="BU12" i="16" s="1"/>
  <c r="BV12" i="16" s="1"/>
  <c r="BW12" i="16" s="1"/>
  <c r="BX12" i="16" s="1"/>
  <c r="BY12" i="16" s="1"/>
  <c r="BZ12" i="16" s="1"/>
  <c r="CA12" i="16" s="1"/>
  <c r="CB12" i="16" s="1"/>
  <c r="CC12" i="16" s="1"/>
  <c r="CD12" i="16" s="1"/>
  <c r="CE12" i="16" s="1"/>
  <c r="CF12" i="16" s="1"/>
  <c r="CG12" i="16" s="1"/>
  <c r="CH12" i="16" s="1"/>
  <c r="CI12" i="16" s="1"/>
  <c r="CJ12" i="16" s="1"/>
  <c r="CK12" i="16" s="1"/>
  <c r="CL12" i="16" s="1"/>
  <c r="CM12" i="16" s="1"/>
  <c r="V43" i="27" l="1"/>
  <c r="U44" i="27"/>
  <c r="AE44" i="27"/>
  <c r="Z42" i="27"/>
  <c r="Y42" i="27"/>
  <c r="W42" i="27"/>
  <c r="X42" i="27"/>
  <c r="BA47" i="27"/>
  <c r="AN46" i="27"/>
  <c r="AC45" i="27"/>
  <c r="AK46" i="27"/>
  <c r="AB45" i="27"/>
  <c r="V44" i="27" s="1"/>
  <c r="BO30" i="11"/>
  <c r="F37" i="27" a="1"/>
  <c r="F37" i="27" s="1"/>
  <c r="BN6" i="11"/>
  <c r="D36" i="27" a="1"/>
  <c r="D36" i="27" s="1"/>
  <c r="I36" i="27" s="1"/>
  <c r="M36" i="27" s="1"/>
  <c r="N36" i="27" s="1"/>
  <c r="O36" i="27" s="1"/>
  <c r="AM48" i="27"/>
  <c r="BK8" i="16"/>
  <c r="K58" i="27"/>
  <c r="AA57" i="27"/>
  <c r="AD57" i="27" s="1"/>
  <c r="AI58" i="27"/>
  <c r="Q33" i="27"/>
  <c r="R33" i="27"/>
  <c r="T33" i="27"/>
  <c r="CG50" i="27"/>
  <c r="BQ52" i="27"/>
  <c r="M35" i="27"/>
  <c r="N35" i="27" s="1"/>
  <c r="O35" i="27" s="1"/>
  <c r="H38" i="27" a="1"/>
  <c r="H38" i="27" s="1"/>
  <c r="E37" i="27" a="1"/>
  <c r="E37" i="27" s="1"/>
  <c r="G37" i="27" a="1"/>
  <c r="G37" i="27" s="1"/>
  <c r="Z44" i="27" l="1"/>
  <c r="X44" i="27"/>
  <c r="W44" i="27"/>
  <c r="Y44" i="27"/>
  <c r="AK47" i="27"/>
  <c r="AC46" i="27"/>
  <c r="AB46" i="27"/>
  <c r="BA48" i="27"/>
  <c r="AN47" i="27"/>
  <c r="AE45" i="27"/>
  <c r="U45" i="27"/>
  <c r="W43" i="27"/>
  <c r="X43" i="27"/>
  <c r="Z43" i="27"/>
  <c r="Y43" i="27"/>
  <c r="BP30" i="11"/>
  <c r="F38" i="27" a="1"/>
  <c r="F38" i="27" s="1"/>
  <c r="BO6" i="11"/>
  <c r="D37" i="27" a="1"/>
  <c r="D37" i="27" s="1"/>
  <c r="I37" i="27" s="1"/>
  <c r="M37" i="27" s="1"/>
  <c r="N37" i="27" s="1"/>
  <c r="O37" i="27" s="1"/>
  <c r="AM49" i="27"/>
  <c r="BL8" i="16"/>
  <c r="K59" i="27"/>
  <c r="AI59" i="27"/>
  <c r="AA58" i="27"/>
  <c r="AD58" i="27" s="1"/>
  <c r="BQ53" i="27"/>
  <c r="CG51" i="27"/>
  <c r="P34" i="27"/>
  <c r="P35" i="27"/>
  <c r="Q35" i="27" s="1"/>
  <c r="G38" i="27" a="1"/>
  <c r="G38" i="27" s="1"/>
  <c r="E38" i="27" a="1"/>
  <c r="E38" i="27" s="1"/>
  <c r="H39" i="27" a="1"/>
  <c r="H39" i="27" s="1"/>
  <c r="BA49" i="27" l="1"/>
  <c r="AN48" i="27"/>
  <c r="V45" i="27"/>
  <c r="AE46" i="27"/>
  <c r="U46" i="27"/>
  <c r="AC47" i="27"/>
  <c r="AK48" i="27"/>
  <c r="AB47" i="27"/>
  <c r="BQ30" i="11"/>
  <c r="F39" i="27" a="1"/>
  <c r="F39" i="27" s="1"/>
  <c r="BP6" i="11"/>
  <c r="D38" i="27" a="1"/>
  <c r="D38" i="27" s="1"/>
  <c r="I38" i="27" s="1"/>
  <c r="AM50" i="27"/>
  <c r="BM8" i="16"/>
  <c r="K60" i="27"/>
  <c r="AI60" i="27"/>
  <c r="AA59" i="27"/>
  <c r="AD59" i="27" s="1"/>
  <c r="CG52" i="27"/>
  <c r="BQ54" i="27"/>
  <c r="S35" i="27"/>
  <c r="T34" i="27"/>
  <c r="Q34" i="27"/>
  <c r="R34" i="27"/>
  <c r="S34" i="27"/>
  <c r="R35" i="27"/>
  <c r="T35" i="27"/>
  <c r="P36" i="27"/>
  <c r="H40" i="27" a="1"/>
  <c r="H40" i="27" s="1"/>
  <c r="E39" i="27" a="1"/>
  <c r="E39" i="27" s="1"/>
  <c r="G39" i="27" a="1"/>
  <c r="G39" i="27" s="1"/>
  <c r="Z45" i="27" l="1"/>
  <c r="Y45" i="27"/>
  <c r="W45" i="27"/>
  <c r="X45" i="27"/>
  <c r="AC48" i="27"/>
  <c r="AK49" i="27"/>
  <c r="AB48" i="27"/>
  <c r="BA50" i="27"/>
  <c r="AN49" i="27"/>
  <c r="U47" i="27"/>
  <c r="V46" i="27"/>
  <c r="AE47" i="27"/>
  <c r="BR30" i="11"/>
  <c r="F40" i="27" a="1"/>
  <c r="F40" i="27" s="1"/>
  <c r="BQ6" i="11"/>
  <c r="D39" i="27" a="1"/>
  <c r="D39" i="27" s="1"/>
  <c r="I39" i="27" s="1"/>
  <c r="M39" i="27" s="1"/>
  <c r="N39" i="27" s="1"/>
  <c r="O39" i="27" s="1"/>
  <c r="AM51" i="27"/>
  <c r="BN8" i="16"/>
  <c r="K61" i="27"/>
  <c r="AI61" i="27"/>
  <c r="AA60" i="27"/>
  <c r="AD60" i="27" s="1"/>
  <c r="BQ55" i="27"/>
  <c r="CG53" i="27"/>
  <c r="M38" i="27"/>
  <c r="N38" i="27" s="1"/>
  <c r="O38" i="27" s="1"/>
  <c r="T36" i="27"/>
  <c r="S36" i="27"/>
  <c r="R36" i="27"/>
  <c r="Q36" i="27"/>
  <c r="G40" i="27" a="1"/>
  <c r="G40" i="27" s="1"/>
  <c r="E40" i="27" a="1"/>
  <c r="E40" i="27" s="1"/>
  <c r="H41" i="27" a="1"/>
  <c r="H41" i="27" s="1"/>
  <c r="X46" i="27" l="1"/>
  <c r="W46" i="27"/>
  <c r="Z46" i="27"/>
  <c r="Y46" i="27"/>
  <c r="AE48" i="27"/>
  <c r="U48" i="27"/>
  <c r="AC49" i="27"/>
  <c r="AK50" i="27"/>
  <c r="AB49" i="27"/>
  <c r="BA51" i="27"/>
  <c r="AN50" i="27"/>
  <c r="V47" i="27"/>
  <c r="BS30" i="11"/>
  <c r="F41" i="27" a="1"/>
  <c r="F41" i="27" s="1"/>
  <c r="BR6" i="11"/>
  <c r="D40" i="27" a="1"/>
  <c r="D40" i="27" s="1"/>
  <c r="I40" i="27" s="1"/>
  <c r="M40" i="27" s="1"/>
  <c r="N40" i="27" s="1"/>
  <c r="O40" i="27" s="1"/>
  <c r="AM52" i="27"/>
  <c r="BO8" i="16"/>
  <c r="K62" i="27"/>
  <c r="AI62" i="27"/>
  <c r="AA61" i="27"/>
  <c r="AD61" i="27" s="1"/>
  <c r="BQ56" i="27"/>
  <c r="CG54" i="27"/>
  <c r="P38" i="27"/>
  <c r="T38" i="27" s="1"/>
  <c r="P37" i="27"/>
  <c r="H42" i="27" a="1"/>
  <c r="H42" i="27" s="1"/>
  <c r="E41" i="27" a="1"/>
  <c r="E41" i="27" s="1"/>
  <c r="G41" i="27" a="1"/>
  <c r="G41" i="27" s="1"/>
  <c r="BA52" i="27" l="1"/>
  <c r="AN51" i="27"/>
  <c r="U49" i="27"/>
  <c r="AE49" i="27"/>
  <c r="AK51" i="27"/>
  <c r="AC50" i="27"/>
  <c r="AB50" i="27"/>
  <c r="V49" i="27" s="1"/>
  <c r="V48" i="27"/>
  <c r="Y47" i="27"/>
  <c r="Z47" i="27"/>
  <c r="W47" i="27"/>
  <c r="X47" i="27"/>
  <c r="BT30" i="11"/>
  <c r="F42" i="27" a="1"/>
  <c r="F42" i="27" s="1"/>
  <c r="BS6" i="11"/>
  <c r="D41" i="27" a="1"/>
  <c r="D41" i="27" s="1"/>
  <c r="I41" i="27" s="1"/>
  <c r="M41" i="27" s="1"/>
  <c r="N41" i="27" s="1"/>
  <c r="O41" i="27" s="1"/>
  <c r="AM53" i="27"/>
  <c r="BP8" i="16"/>
  <c r="K63" i="27"/>
  <c r="AI63" i="27"/>
  <c r="AA62" i="27"/>
  <c r="AD62" i="27" s="1"/>
  <c r="Q38" i="27"/>
  <c r="R38" i="27"/>
  <c r="S38" i="27"/>
  <c r="CG55" i="27"/>
  <c r="BQ57" i="27"/>
  <c r="BQ58" i="27" s="1"/>
  <c r="P39" i="27"/>
  <c r="T39" i="27" s="1"/>
  <c r="S37" i="27"/>
  <c r="T37" i="27"/>
  <c r="Q37" i="27"/>
  <c r="R37" i="27"/>
  <c r="G42" i="27" a="1"/>
  <c r="G42" i="27" s="1"/>
  <c r="E42" i="27" a="1"/>
  <c r="E42" i="27" s="1"/>
  <c r="H43" i="27" a="1"/>
  <c r="H43" i="27" s="1"/>
  <c r="W49" i="27" l="1"/>
  <c r="Y49" i="27"/>
  <c r="U50" i="27"/>
  <c r="AE50" i="27"/>
  <c r="Z49" i="27"/>
  <c r="W48" i="27"/>
  <c r="Z48" i="27"/>
  <c r="Y48" i="27"/>
  <c r="X48" i="27"/>
  <c r="X49" i="27"/>
  <c r="AK52" i="27"/>
  <c r="AC51" i="27"/>
  <c r="AB51" i="27"/>
  <c r="BA53" i="27"/>
  <c r="AN52" i="27"/>
  <c r="BU30" i="11"/>
  <c r="F43" i="27" a="1"/>
  <c r="F43" i="27" s="1"/>
  <c r="BT6" i="11"/>
  <c r="D42" i="27" a="1"/>
  <c r="D42" i="27" s="1"/>
  <c r="I42" i="27" s="1"/>
  <c r="AM54" i="27"/>
  <c r="BQ8" i="16"/>
  <c r="K64" i="27"/>
  <c r="AI64" i="27"/>
  <c r="AA63" i="27"/>
  <c r="AD63" i="27" s="1"/>
  <c r="BQ59" i="27"/>
  <c r="Q39" i="27"/>
  <c r="S39" i="27"/>
  <c r="R39" i="27"/>
  <c r="CG56" i="27"/>
  <c r="P40" i="27"/>
  <c r="H44" i="27" a="1"/>
  <c r="H44" i="27" s="1"/>
  <c r="E43" i="27" a="1"/>
  <c r="E43" i="27" s="1"/>
  <c r="G43" i="27" a="1"/>
  <c r="G43" i="27" s="1"/>
  <c r="AE51" i="27" l="1"/>
  <c r="U51" i="27"/>
  <c r="AK53" i="27"/>
  <c r="AC52" i="27"/>
  <c r="AB52" i="27"/>
  <c r="V51" i="27" s="1"/>
  <c r="BA54" i="27"/>
  <c r="AN53" i="27"/>
  <c r="V50" i="27"/>
  <c r="BV30" i="11"/>
  <c r="F44" i="27" a="1"/>
  <c r="F44" i="27" s="1"/>
  <c r="BU6" i="11"/>
  <c r="D43" i="27" a="1"/>
  <c r="D43" i="27" s="1"/>
  <c r="I43" i="27" s="1"/>
  <c r="AM55" i="27"/>
  <c r="BR8" i="16"/>
  <c r="K65" i="27"/>
  <c r="BQ60" i="27"/>
  <c r="AA64" i="27"/>
  <c r="AD64" i="27" s="1"/>
  <c r="AI65" i="27"/>
  <c r="CG57" i="27"/>
  <c r="M42" i="27"/>
  <c r="N42" i="27" s="1"/>
  <c r="O42" i="27" s="1"/>
  <c r="Q40" i="27"/>
  <c r="R40" i="27"/>
  <c r="S40" i="27"/>
  <c r="T40" i="27"/>
  <c r="G44" i="27" a="1"/>
  <c r="G44" i="27" s="1"/>
  <c r="E44" i="27" a="1"/>
  <c r="E44" i="27" s="1"/>
  <c r="H45" i="27" a="1"/>
  <c r="H45" i="27" s="1"/>
  <c r="Y51" i="27" l="1"/>
  <c r="Z51" i="27"/>
  <c r="AK54" i="27"/>
  <c r="AC53" i="27"/>
  <c r="AB53" i="27"/>
  <c r="BA55" i="27"/>
  <c r="AN54" i="27"/>
  <c r="U52" i="27"/>
  <c r="X51" i="27" s="1"/>
  <c r="AE52" i="27"/>
  <c r="Z50" i="27"/>
  <c r="Y50" i="27"/>
  <c r="X50" i="27"/>
  <c r="W50" i="27"/>
  <c r="BW30" i="11"/>
  <c r="F45" i="27" a="1"/>
  <c r="F45" i="27" s="1"/>
  <c r="BV6" i="11"/>
  <c r="D44" i="27" a="1"/>
  <c r="D44" i="27" s="1"/>
  <c r="I44" i="27" s="1"/>
  <c r="M44" i="27" s="1"/>
  <c r="N44" i="27" s="1"/>
  <c r="O44" i="27" s="1"/>
  <c r="AM56" i="27"/>
  <c r="BS8" i="16"/>
  <c r="K66" i="27"/>
  <c r="AA65" i="27"/>
  <c r="AD65" i="27" s="1"/>
  <c r="AI66" i="27"/>
  <c r="CG58" i="27"/>
  <c r="BQ61" i="27"/>
  <c r="M43" i="27"/>
  <c r="N43" i="27" s="1"/>
  <c r="O43" i="27" s="1"/>
  <c r="P41" i="27"/>
  <c r="H46" i="27" a="1"/>
  <c r="H46" i="27" s="1"/>
  <c r="E45" i="27" a="1"/>
  <c r="E45" i="27" s="1"/>
  <c r="G45" i="27" a="1"/>
  <c r="G45" i="27" s="1"/>
  <c r="AK55" i="27" l="1"/>
  <c r="AC54" i="27"/>
  <c r="AB54" i="27"/>
  <c r="W51" i="27"/>
  <c r="BA56" i="27"/>
  <c r="AN55" i="27"/>
  <c r="V52" i="27"/>
  <c r="U53" i="27"/>
  <c r="AE53" i="27"/>
  <c r="BX30" i="11"/>
  <c r="F46" i="27" a="1"/>
  <c r="F46" i="27" s="1"/>
  <c r="BW6" i="11"/>
  <c r="D45" i="27" a="1"/>
  <c r="D45" i="27" s="1"/>
  <c r="I45" i="27" s="1"/>
  <c r="M45" i="27" s="1"/>
  <c r="N45" i="27" s="1"/>
  <c r="O45" i="27" s="1"/>
  <c r="AM57" i="27"/>
  <c r="BT8" i="16"/>
  <c r="K67" i="27"/>
  <c r="CG59" i="27"/>
  <c r="BQ62" i="27"/>
  <c r="AI67" i="27"/>
  <c r="AA66" i="27"/>
  <c r="AD66" i="27" s="1"/>
  <c r="S41" i="27"/>
  <c r="R41" i="27"/>
  <c r="T41" i="27"/>
  <c r="Q41" i="27"/>
  <c r="P42" i="27"/>
  <c r="P43" i="27"/>
  <c r="G46" i="27" a="1"/>
  <c r="G46" i="27" s="1"/>
  <c r="E46" i="27" a="1"/>
  <c r="E46" i="27" s="1"/>
  <c r="H47" i="27" a="1"/>
  <c r="H47" i="27" s="1"/>
  <c r="W52" i="27" l="1"/>
  <c r="X52" i="27"/>
  <c r="Z52" i="27"/>
  <c r="Y52" i="27"/>
  <c r="BA57" i="27"/>
  <c r="AN56" i="27"/>
  <c r="AE54" i="27"/>
  <c r="V53" i="27"/>
  <c r="U54" i="27"/>
  <c r="AK56" i="27"/>
  <c r="AC55" i="27"/>
  <c r="AB55" i="27"/>
  <c r="BY30" i="11"/>
  <c r="F47" i="27" a="1"/>
  <c r="F47" i="27" s="1"/>
  <c r="BX6" i="11"/>
  <c r="D46" i="27" a="1"/>
  <c r="D46" i="27" s="1"/>
  <c r="I46" i="27" s="1"/>
  <c r="AM58" i="27"/>
  <c r="BU8" i="16"/>
  <c r="K68" i="27"/>
  <c r="BQ63" i="27"/>
  <c r="AA67" i="27"/>
  <c r="AD67" i="27" s="1"/>
  <c r="AI68" i="27"/>
  <c r="CG60" i="27"/>
  <c r="S42" i="27"/>
  <c r="R42" i="27"/>
  <c r="Q42" i="27"/>
  <c r="T42" i="27"/>
  <c r="S43" i="27"/>
  <c r="T43" i="27"/>
  <c r="R43" i="27"/>
  <c r="Q43" i="27"/>
  <c r="P44" i="27"/>
  <c r="H48" i="27" a="1"/>
  <c r="H48" i="27" s="1"/>
  <c r="E47" i="27" a="1"/>
  <c r="E47" i="27" s="1"/>
  <c r="G47" i="27" a="1"/>
  <c r="G47" i="27" s="1"/>
  <c r="AC56" i="27" l="1"/>
  <c r="AK57" i="27"/>
  <c r="AB56" i="27"/>
  <c r="BA58" i="27"/>
  <c r="AN57" i="27"/>
  <c r="W53" i="27"/>
  <c r="X53" i="27"/>
  <c r="Y53" i="27"/>
  <c r="Z53" i="27"/>
  <c r="V54" i="27"/>
  <c r="AE55" i="27"/>
  <c r="U55" i="27"/>
  <c r="BZ30" i="11"/>
  <c r="F48" i="27" a="1"/>
  <c r="F48" i="27" s="1"/>
  <c r="BY6" i="11"/>
  <c r="D47" i="27" a="1"/>
  <c r="D47" i="27" s="1"/>
  <c r="I47" i="27" s="1"/>
  <c r="AM59" i="27"/>
  <c r="BV8" i="16"/>
  <c r="K69" i="27"/>
  <c r="AI69" i="27"/>
  <c r="AA68" i="27"/>
  <c r="AD68" i="27" s="1"/>
  <c r="BQ64" i="27"/>
  <c r="CG61" i="27"/>
  <c r="M46" i="27"/>
  <c r="N46" i="27" s="1"/>
  <c r="O46" i="27" s="1"/>
  <c r="T44" i="27"/>
  <c r="S44" i="27"/>
  <c r="R44" i="27"/>
  <c r="Q44" i="27"/>
  <c r="G48" i="27" a="1"/>
  <c r="G48" i="27" s="1"/>
  <c r="E48" i="27" a="1"/>
  <c r="E48" i="27" s="1"/>
  <c r="H49" i="27" a="1"/>
  <c r="H49" i="27" s="1"/>
  <c r="Z54" i="27" l="1"/>
  <c r="X54" i="27"/>
  <c r="Y54" i="27"/>
  <c r="W54" i="27"/>
  <c r="BA59" i="27"/>
  <c r="AN58" i="27"/>
  <c r="V55" i="27"/>
  <c r="U56" i="27"/>
  <c r="AE56" i="27"/>
  <c r="AK58" i="27"/>
  <c r="AC57" i="27"/>
  <c r="AB57" i="27"/>
  <c r="CA30" i="11"/>
  <c r="F49" i="27" a="1"/>
  <c r="F49" i="27" s="1"/>
  <c r="BZ6" i="11"/>
  <c r="D48" i="27" a="1"/>
  <c r="D48" i="27" s="1"/>
  <c r="I48" i="27" s="1"/>
  <c r="AM60" i="27"/>
  <c r="BW8" i="16"/>
  <c r="K70" i="27"/>
  <c r="CG62" i="27"/>
  <c r="BQ65" i="27"/>
  <c r="AA69" i="27"/>
  <c r="AD69" i="27" s="1"/>
  <c r="AI70" i="27"/>
  <c r="M47" i="27"/>
  <c r="N47" i="27" s="1"/>
  <c r="O47" i="27" s="1"/>
  <c r="P45" i="27"/>
  <c r="H50" i="27" a="1"/>
  <c r="H50" i="27" s="1"/>
  <c r="E49" i="27" a="1"/>
  <c r="E49" i="27" s="1"/>
  <c r="G49" i="27" a="1"/>
  <c r="G49" i="27" s="1"/>
  <c r="X55" i="27" l="1"/>
  <c r="AC58" i="27"/>
  <c r="AK59" i="27"/>
  <c r="AB58" i="27"/>
  <c r="Z55" i="27"/>
  <c r="Y55" i="27"/>
  <c r="W55" i="27"/>
  <c r="BA60" i="27"/>
  <c r="AN59" i="27"/>
  <c r="V56" i="27"/>
  <c r="U57" i="27"/>
  <c r="AE57" i="27"/>
  <c r="CB30" i="11"/>
  <c r="F50" i="27" a="1"/>
  <c r="F50" i="27" s="1"/>
  <c r="CA6" i="11"/>
  <c r="D49" i="27" a="1"/>
  <c r="D49" i="27" s="1"/>
  <c r="I49" i="27" s="1"/>
  <c r="M49" i="27" s="1"/>
  <c r="N49" i="27" s="1"/>
  <c r="O49" i="27" s="1"/>
  <c r="AM61" i="27"/>
  <c r="BX8" i="16"/>
  <c r="K71" i="27"/>
  <c r="AI71" i="27"/>
  <c r="AA70" i="27"/>
  <c r="AD70" i="27" s="1"/>
  <c r="BQ66" i="27"/>
  <c r="CG63" i="27"/>
  <c r="M48" i="27"/>
  <c r="N48" i="27" s="1"/>
  <c r="O48" i="27" s="1"/>
  <c r="S45" i="27"/>
  <c r="T45" i="27"/>
  <c r="R45" i="27"/>
  <c r="Q45" i="27"/>
  <c r="P46" i="27"/>
  <c r="G50" i="27" a="1"/>
  <c r="G50" i="27" s="1"/>
  <c r="E50" i="27" a="1"/>
  <c r="E50" i="27" s="1"/>
  <c r="H51" i="27" a="1"/>
  <c r="H51" i="27" s="1"/>
  <c r="Y56" i="27" l="1"/>
  <c r="BA61" i="27"/>
  <c r="AN60" i="27"/>
  <c r="V57" i="27"/>
  <c r="AE58" i="27"/>
  <c r="U58" i="27"/>
  <c r="AK60" i="27"/>
  <c r="AC59" i="27"/>
  <c r="AB59" i="27"/>
  <c r="X56" i="27"/>
  <c r="Z56" i="27"/>
  <c r="W56" i="27"/>
  <c r="CC30" i="11"/>
  <c r="F51" i="27" a="1"/>
  <c r="F51" i="27" s="1"/>
  <c r="CB6" i="11"/>
  <c r="D50" i="27" a="1"/>
  <c r="D50" i="27" s="1"/>
  <c r="I50" i="27" s="1"/>
  <c r="M50" i="27" s="1"/>
  <c r="N50" i="27" s="1"/>
  <c r="O50" i="27" s="1"/>
  <c r="AM62" i="27"/>
  <c r="BY8" i="16"/>
  <c r="K72" i="27"/>
  <c r="CG64" i="27"/>
  <c r="AI72" i="27"/>
  <c r="AA71" i="27"/>
  <c r="AD71" i="27" s="1"/>
  <c r="BQ67" i="27"/>
  <c r="Q46" i="27"/>
  <c r="S46" i="27"/>
  <c r="T46" i="27"/>
  <c r="R46" i="27"/>
  <c r="P47" i="27"/>
  <c r="P48" i="27"/>
  <c r="H52" i="27" a="1"/>
  <c r="H52" i="27" s="1"/>
  <c r="E51" i="27" a="1"/>
  <c r="E51" i="27" s="1"/>
  <c r="G51" i="27" a="1"/>
  <c r="G51" i="27" s="1"/>
  <c r="Y57" i="27" l="1"/>
  <c r="Z57" i="27"/>
  <c r="W57" i="27"/>
  <c r="X57" i="27"/>
  <c r="AE59" i="27"/>
  <c r="U59" i="27"/>
  <c r="V58" i="27"/>
  <c r="AK61" i="27"/>
  <c r="AC60" i="27"/>
  <c r="AB60" i="27"/>
  <c r="BA62" i="27"/>
  <c r="AN61" i="27"/>
  <c r="CD30" i="11"/>
  <c r="F52" i="27" a="1"/>
  <c r="F52" i="27" s="1"/>
  <c r="CC6" i="11"/>
  <c r="D51" i="27" a="1"/>
  <c r="D51" i="27" s="1"/>
  <c r="I51" i="27" s="1"/>
  <c r="M51" i="27" s="1"/>
  <c r="N51" i="27" s="1"/>
  <c r="O51" i="27" s="1"/>
  <c r="AM63" i="27"/>
  <c r="BZ8" i="16"/>
  <c r="K73" i="27"/>
  <c r="BQ68" i="27"/>
  <c r="AI73" i="27"/>
  <c r="AA72" i="27"/>
  <c r="AD72" i="27" s="1"/>
  <c r="CG65" i="27"/>
  <c r="P49" i="27"/>
  <c r="R49" i="27" s="1"/>
  <c r="T47" i="27"/>
  <c r="Q47" i="27"/>
  <c r="S47" i="27"/>
  <c r="R47" i="27"/>
  <c r="T48" i="27"/>
  <c r="Q48" i="27"/>
  <c r="R48" i="27"/>
  <c r="S48" i="27"/>
  <c r="G52" i="27" a="1"/>
  <c r="G52" i="27" s="1"/>
  <c r="E52" i="27" a="1"/>
  <c r="E52" i="27" s="1"/>
  <c r="H53" i="27" a="1"/>
  <c r="H53" i="27" s="1"/>
  <c r="V59" i="27" l="1"/>
  <c r="AE60" i="27"/>
  <c r="U60" i="27"/>
  <c r="Z58" i="27"/>
  <c r="Y58" i="27"/>
  <c r="X58" i="27"/>
  <c r="W58" i="27"/>
  <c r="BA63" i="27"/>
  <c r="AN62" i="27"/>
  <c r="AK62" i="27"/>
  <c r="AC61" i="27"/>
  <c r="AB61" i="27"/>
  <c r="V60" i="27" s="1"/>
  <c r="CE30" i="11"/>
  <c r="F53" i="27" a="1"/>
  <c r="F53" i="27" s="1"/>
  <c r="CD6" i="11"/>
  <c r="D52" i="27" a="1"/>
  <c r="D52" i="27" s="1"/>
  <c r="I52" i="27" s="1"/>
  <c r="M52" i="27" s="1"/>
  <c r="N52" i="27" s="1"/>
  <c r="O52" i="27" s="1"/>
  <c r="AM64" i="27"/>
  <c r="CA8" i="16"/>
  <c r="K74" i="27"/>
  <c r="CG66" i="27"/>
  <c r="BQ69" i="27"/>
  <c r="AI74" i="27"/>
  <c r="AA73" i="27"/>
  <c r="AD73" i="27" s="1"/>
  <c r="S49" i="27"/>
  <c r="T49" i="27"/>
  <c r="Q49" i="27"/>
  <c r="P50" i="27"/>
  <c r="E53" i="27" a="1"/>
  <c r="E53" i="27" s="1"/>
  <c r="H54" i="27" a="1"/>
  <c r="H54" i="27" s="1"/>
  <c r="G53" i="27" a="1"/>
  <c r="G53" i="27" s="1"/>
  <c r="Z60" i="27" l="1"/>
  <c r="Y60" i="27"/>
  <c r="AK63" i="27"/>
  <c r="AC62" i="27"/>
  <c r="AB62" i="27"/>
  <c r="BA64" i="27"/>
  <c r="AN63" i="27"/>
  <c r="AE61" i="27"/>
  <c r="U61" i="27"/>
  <c r="X60" i="27" s="1"/>
  <c r="Z59" i="27"/>
  <c r="X59" i="27"/>
  <c r="W59" i="27"/>
  <c r="Y59" i="27"/>
  <c r="CF30" i="11"/>
  <c r="F54" i="27" a="1"/>
  <c r="F54" i="27" s="1"/>
  <c r="CE6" i="11"/>
  <c r="D53" i="27" a="1"/>
  <c r="D53" i="27" s="1"/>
  <c r="I53" i="27" s="1"/>
  <c r="M53" i="27" s="1"/>
  <c r="N53" i="27" s="1"/>
  <c r="O53" i="27" s="1"/>
  <c r="AM65" i="27"/>
  <c r="CB8" i="16"/>
  <c r="K75" i="27"/>
  <c r="CG67" i="27"/>
  <c r="AI75" i="27"/>
  <c r="AA74" i="27"/>
  <c r="AD74" i="27" s="1"/>
  <c r="BQ70" i="27"/>
  <c r="P51" i="27"/>
  <c r="R51" i="27" s="1"/>
  <c r="R50" i="27"/>
  <c r="T50" i="27"/>
  <c r="S50" i="27"/>
  <c r="Q50" i="27"/>
  <c r="G54" i="27" a="1"/>
  <c r="G54" i="27" s="1"/>
  <c r="H55" i="27" a="1"/>
  <c r="H55" i="27" s="1"/>
  <c r="E54" i="27" a="1"/>
  <c r="E54" i="27" s="1"/>
  <c r="W60" i="27" l="1"/>
  <c r="BA65" i="27"/>
  <c r="AN64" i="27"/>
  <c r="V61" i="27"/>
  <c r="U62" i="27"/>
  <c r="AE62" i="27"/>
  <c r="AK64" i="27"/>
  <c r="AC63" i="27"/>
  <c r="AB63" i="27"/>
  <c r="CG30" i="11"/>
  <c r="F55" i="27" a="1"/>
  <c r="F55" i="27" s="1"/>
  <c r="CF6" i="11"/>
  <c r="D54" i="27" a="1"/>
  <c r="D54" i="27" s="1"/>
  <c r="I54" i="27" s="1"/>
  <c r="M54" i="27" s="1"/>
  <c r="N54" i="27" s="1"/>
  <c r="O54" i="27" s="1"/>
  <c r="AM66" i="27"/>
  <c r="CC8" i="16"/>
  <c r="K76" i="27"/>
  <c r="BQ71" i="27"/>
  <c r="AA75" i="27"/>
  <c r="AD75" i="27" s="1"/>
  <c r="AI76" i="27"/>
  <c r="CG68" i="27"/>
  <c r="S51" i="27"/>
  <c r="Q51" i="27"/>
  <c r="T51" i="27"/>
  <c r="P52" i="27"/>
  <c r="E55" i="27" a="1"/>
  <c r="E55" i="27" s="1"/>
  <c r="H56" i="27" a="1"/>
  <c r="H56" i="27" s="1"/>
  <c r="G55" i="27" a="1"/>
  <c r="G55" i="27" s="1"/>
  <c r="V62" i="27" l="1"/>
  <c r="U63" i="27"/>
  <c r="AE63" i="27"/>
  <c r="Y61" i="27"/>
  <c r="W61" i="27"/>
  <c r="X61" i="27"/>
  <c r="Z61" i="27"/>
  <c r="AC64" i="27"/>
  <c r="AK65" i="27"/>
  <c r="AB64" i="27"/>
  <c r="BA66" i="27"/>
  <c r="AN65" i="27"/>
  <c r="CH30" i="11"/>
  <c r="F56" i="27" a="1"/>
  <c r="F56" i="27" s="1"/>
  <c r="CG6" i="11"/>
  <c r="D55" i="27" a="1"/>
  <c r="D55" i="27" s="1"/>
  <c r="I55" i="27" s="1"/>
  <c r="M55" i="27" s="1"/>
  <c r="N55" i="27" s="1"/>
  <c r="O55" i="27" s="1"/>
  <c r="AM67" i="27"/>
  <c r="CD8" i="16"/>
  <c r="K77" i="27"/>
  <c r="BQ72" i="27"/>
  <c r="AI77" i="27"/>
  <c r="AA76" i="27"/>
  <c r="AD76" i="27" s="1"/>
  <c r="CG69" i="27"/>
  <c r="P53" i="27"/>
  <c r="T53" i="27" s="1"/>
  <c r="Q52" i="27"/>
  <c r="T52" i="27"/>
  <c r="S52" i="27"/>
  <c r="R52" i="27"/>
  <c r="G56" i="27" a="1"/>
  <c r="G56" i="27" s="1"/>
  <c r="E56" i="27" a="1"/>
  <c r="E56" i="27" s="1"/>
  <c r="U64" i="27" l="1"/>
  <c r="AE64" i="27"/>
  <c r="W62" i="27"/>
  <c r="X62" i="27"/>
  <c r="Z62" i="27"/>
  <c r="Y62" i="27"/>
  <c r="AC65" i="27"/>
  <c r="AK66" i="27"/>
  <c r="AB65" i="27"/>
  <c r="BA67" i="27"/>
  <c r="AN66" i="27"/>
  <c r="V63" i="27"/>
  <c r="CI30" i="11"/>
  <c r="F57" i="27" a="1"/>
  <c r="F57" i="27" s="1"/>
  <c r="CH6" i="11"/>
  <c r="D56" i="27" a="1"/>
  <c r="D56" i="27" s="1"/>
  <c r="I56" i="27" s="1"/>
  <c r="AM68" i="27"/>
  <c r="CE8" i="16"/>
  <c r="K78" i="27"/>
  <c r="CG70" i="27"/>
  <c r="AA77" i="27"/>
  <c r="AD77" i="27" s="1"/>
  <c r="AI78" i="27"/>
  <c r="BQ73" i="27"/>
  <c r="R53" i="27"/>
  <c r="S53" i="27"/>
  <c r="Q53" i="27"/>
  <c r="H57" i="27" a="1"/>
  <c r="H57" i="27" s="1"/>
  <c r="P54" i="27"/>
  <c r="BA68" i="27" l="1"/>
  <c r="AN67" i="27"/>
  <c r="U65" i="27"/>
  <c r="AE65" i="27"/>
  <c r="AC66" i="27"/>
  <c r="AK67" i="27"/>
  <c r="AB66" i="27"/>
  <c r="V65" i="27" s="1"/>
  <c r="Y65" i="27" s="1"/>
  <c r="V64" i="27"/>
  <c r="W63" i="27"/>
  <c r="Z63" i="27"/>
  <c r="X63" i="27"/>
  <c r="Y63" i="27"/>
  <c r="CJ30" i="11"/>
  <c r="F58" i="27" a="1"/>
  <c r="F58" i="27" s="1"/>
  <c r="CI6" i="11"/>
  <c r="D57" i="27" a="1"/>
  <c r="D57" i="27" s="1"/>
  <c r="AM69" i="27"/>
  <c r="CF8" i="16"/>
  <c r="K79" i="27"/>
  <c r="CG71" i="27"/>
  <c r="AI79" i="27"/>
  <c r="AA78" i="27"/>
  <c r="AD78" i="27" s="1"/>
  <c r="BQ74" i="27"/>
  <c r="M56" i="27"/>
  <c r="N56" i="27" s="1"/>
  <c r="O56" i="27" s="1"/>
  <c r="G57" i="27" a="1"/>
  <c r="G57" i="27" s="1"/>
  <c r="E57" i="27" a="1"/>
  <c r="E57" i="27" s="1"/>
  <c r="H58" i="27" a="1"/>
  <c r="H58" i="27" s="1"/>
  <c r="S54" i="27"/>
  <c r="R54" i="27"/>
  <c r="Q54" i="27"/>
  <c r="T54" i="27"/>
  <c r="W65" i="27" l="1"/>
  <c r="AC67" i="27"/>
  <c r="AK68" i="27"/>
  <c r="AB67" i="27"/>
  <c r="X65" i="27"/>
  <c r="X64" i="27"/>
  <c r="W64" i="27"/>
  <c r="Y64" i="27"/>
  <c r="Z64" i="27"/>
  <c r="U66" i="27"/>
  <c r="AE66" i="27"/>
  <c r="Z65" i="27"/>
  <c r="BA69" i="27"/>
  <c r="AN68" i="27"/>
  <c r="CK30" i="11"/>
  <c r="F59" i="27" a="1"/>
  <c r="F59" i="27" s="1"/>
  <c r="CJ6" i="11"/>
  <c r="D58" i="27" a="1"/>
  <c r="D58" i="27" s="1"/>
  <c r="AM70" i="27"/>
  <c r="CG8" i="16"/>
  <c r="K80" i="27"/>
  <c r="BQ75" i="27"/>
  <c r="AA79" i="27"/>
  <c r="AD79" i="27" s="1"/>
  <c r="AI80" i="27"/>
  <c r="CG72" i="27"/>
  <c r="P55" i="27"/>
  <c r="I57" i="27"/>
  <c r="M57" i="27" s="1"/>
  <c r="N57" i="27" s="1"/>
  <c r="E58" i="27" a="1"/>
  <c r="E58" i="27" s="1"/>
  <c r="H59" i="27" a="1"/>
  <c r="H59" i="27" s="1"/>
  <c r="G58" i="27" a="1"/>
  <c r="G58" i="27" s="1"/>
  <c r="V66" i="27" l="1"/>
  <c r="U67" i="27"/>
  <c r="AE67" i="27"/>
  <c r="AC68" i="27"/>
  <c r="AK69" i="27"/>
  <c r="AB68" i="27"/>
  <c r="V67" i="27" s="1"/>
  <c r="W67" i="27" s="1"/>
  <c r="BA70" i="27"/>
  <c r="AN69" i="27"/>
  <c r="CL30" i="11"/>
  <c r="F60" i="27" a="1"/>
  <c r="F60" i="27" s="1"/>
  <c r="CK6" i="11"/>
  <c r="D59" i="27" a="1"/>
  <c r="D59" i="27" s="1"/>
  <c r="O57" i="27"/>
  <c r="AM71" i="27"/>
  <c r="CH8" i="16"/>
  <c r="K81" i="27"/>
  <c r="AA80" i="27"/>
  <c r="AD80" i="27" s="1"/>
  <c r="AI81" i="27"/>
  <c r="CG73" i="27"/>
  <c r="BQ76" i="27"/>
  <c r="P56" i="27"/>
  <c r="T56" i="27" s="1"/>
  <c r="R55" i="27"/>
  <c r="Q55" i="27"/>
  <c r="T55" i="27"/>
  <c r="S55" i="27"/>
  <c r="H60" i="27" a="1"/>
  <c r="H60" i="27" s="1"/>
  <c r="E59" i="27" a="1"/>
  <c r="E59" i="27" s="1"/>
  <c r="I58" i="27"/>
  <c r="M58" i="27" s="1"/>
  <c r="N58" i="27" s="1"/>
  <c r="O58" i="27" s="1"/>
  <c r="G59" i="27" a="1"/>
  <c r="G59" i="27" s="1"/>
  <c r="X67" i="27" l="1"/>
  <c r="Y67" i="27"/>
  <c r="Z67" i="27"/>
  <c r="AK70" i="27"/>
  <c r="AC69" i="27"/>
  <c r="AB69" i="27"/>
  <c r="BA71" i="27"/>
  <c r="AN70" i="27"/>
  <c r="U68" i="27"/>
  <c r="AE68" i="27"/>
  <c r="Y66" i="27"/>
  <c r="W66" i="27"/>
  <c r="X66" i="27"/>
  <c r="Z66" i="27"/>
  <c r="CM30" i="11"/>
  <c r="F61" i="27" a="1"/>
  <c r="F61" i="27" s="1"/>
  <c r="CL6" i="11"/>
  <c r="D60" i="27" a="1"/>
  <c r="D60" i="27" s="1"/>
  <c r="AM72" i="27"/>
  <c r="CI8" i="16"/>
  <c r="K82" i="27"/>
  <c r="AA81" i="27"/>
  <c r="AD81" i="27" s="1"/>
  <c r="AI82" i="27"/>
  <c r="BQ77" i="27"/>
  <c r="CG74" i="27"/>
  <c r="S56" i="27"/>
  <c r="Q56" i="27"/>
  <c r="R56" i="27"/>
  <c r="I59" i="27"/>
  <c r="M59" i="27" s="1"/>
  <c r="N59" i="27" s="1"/>
  <c r="O59" i="27" s="1"/>
  <c r="P57" i="27"/>
  <c r="E60" i="27" a="1"/>
  <c r="E60" i="27" s="1"/>
  <c r="G60" i="27" a="1"/>
  <c r="G60" i="27" s="1"/>
  <c r="H61" i="27" a="1"/>
  <c r="H61" i="27" s="1"/>
  <c r="BA72" i="27" l="1"/>
  <c r="AN71" i="27"/>
  <c r="AE69" i="27"/>
  <c r="U69" i="27"/>
  <c r="AK71" i="27"/>
  <c r="AC70" i="27"/>
  <c r="AB70" i="27"/>
  <c r="V68" i="27"/>
  <c r="CN30" i="11"/>
  <c r="F62" i="27" a="1"/>
  <c r="F62" i="27" s="1"/>
  <c r="CM6" i="11"/>
  <c r="D61" i="27" a="1"/>
  <c r="D61" i="27" s="1"/>
  <c r="AM73" i="27"/>
  <c r="CJ8" i="16"/>
  <c r="K83" i="27"/>
  <c r="P58" i="27"/>
  <c r="T58" i="27" s="1"/>
  <c r="BQ78" i="27"/>
  <c r="AA82" i="27"/>
  <c r="AD82" i="27" s="1"/>
  <c r="AI83" i="27"/>
  <c r="CG75" i="27"/>
  <c r="I60" i="27"/>
  <c r="M60" i="27" s="1"/>
  <c r="N60" i="27" s="1"/>
  <c r="O60" i="27" s="1"/>
  <c r="S57" i="27"/>
  <c r="Q57" i="27"/>
  <c r="T57" i="27"/>
  <c r="R57" i="27"/>
  <c r="E61" i="27" a="1"/>
  <c r="E61" i="27" s="1"/>
  <c r="G61" i="27" a="1"/>
  <c r="G61" i="27" s="1"/>
  <c r="H62" i="27" a="1"/>
  <c r="H62" i="27" s="1"/>
  <c r="X68" i="27" l="1"/>
  <c r="Z68" i="27"/>
  <c r="W68" i="27"/>
  <c r="Y68" i="27"/>
  <c r="AE70" i="27"/>
  <c r="V69" i="27"/>
  <c r="U70" i="27"/>
  <c r="AK72" i="27"/>
  <c r="AC71" i="27"/>
  <c r="AB71" i="27"/>
  <c r="V70" i="27" s="1"/>
  <c r="BA73" i="27"/>
  <c r="AN72" i="27"/>
  <c r="CO30" i="11"/>
  <c r="F63" i="27" a="1"/>
  <c r="F63" i="27" s="1"/>
  <c r="CN6" i="11"/>
  <c r="D62" i="27" a="1"/>
  <c r="D62" i="27" s="1"/>
  <c r="AM74" i="27"/>
  <c r="R58" i="27"/>
  <c r="S58" i="27"/>
  <c r="Q58" i="27"/>
  <c r="CK8" i="16"/>
  <c r="K84" i="27"/>
  <c r="CG76" i="27"/>
  <c r="AA83" i="27"/>
  <c r="AD83" i="27" s="1"/>
  <c r="AI84" i="27"/>
  <c r="BQ79" i="27"/>
  <c r="G62" i="27" a="1"/>
  <c r="G62" i="27" s="1"/>
  <c r="P59" i="27"/>
  <c r="E62" i="27" a="1"/>
  <c r="E62" i="27" s="1"/>
  <c r="I61" i="27"/>
  <c r="H63" i="27" a="1"/>
  <c r="H63" i="27" s="1"/>
  <c r="Y70" i="27" l="1"/>
  <c r="X70" i="27"/>
  <c r="Z70" i="27"/>
  <c r="W70" i="27"/>
  <c r="AK73" i="27"/>
  <c r="AC72" i="27"/>
  <c r="AB72" i="27"/>
  <c r="V71" i="27" s="1"/>
  <c r="X69" i="27"/>
  <c r="W69" i="27"/>
  <c r="Y69" i="27"/>
  <c r="Z69" i="27"/>
  <c r="AE71" i="27"/>
  <c r="U71" i="27"/>
  <c r="BA74" i="27"/>
  <c r="AN73" i="27"/>
  <c r="CP30" i="11"/>
  <c r="F64" i="27" a="1"/>
  <c r="F64" i="27" s="1"/>
  <c r="CO6" i="11"/>
  <c r="D63" i="27" a="1"/>
  <c r="D63" i="27" s="1"/>
  <c r="AM75" i="27"/>
  <c r="CL8" i="16"/>
  <c r="K85" i="27"/>
  <c r="AI85" i="27"/>
  <c r="AA84" i="27"/>
  <c r="AD84" i="27" s="1"/>
  <c r="M61" i="27"/>
  <c r="N61" i="27" s="1"/>
  <c r="O61" i="27" s="1"/>
  <c r="BQ80" i="27"/>
  <c r="CG77" i="27"/>
  <c r="T59" i="27"/>
  <c r="S59" i="27"/>
  <c r="R59" i="27"/>
  <c r="Q59" i="27"/>
  <c r="H64" i="27" a="1"/>
  <c r="H64" i="27" s="1"/>
  <c r="G63" i="27" a="1"/>
  <c r="G63" i="27" s="1"/>
  <c r="E63" i="27" a="1"/>
  <c r="E63" i="27" s="1"/>
  <c r="I62" i="27"/>
  <c r="Z71" i="27" l="1"/>
  <c r="Y71" i="27"/>
  <c r="W71" i="27"/>
  <c r="X71" i="27"/>
  <c r="AK74" i="27"/>
  <c r="AC73" i="27"/>
  <c r="AB73" i="27"/>
  <c r="U72" i="27"/>
  <c r="AE72" i="27"/>
  <c r="BA75" i="27"/>
  <c r="AN74" i="27"/>
  <c r="CQ30" i="11"/>
  <c r="F65" i="27" a="1"/>
  <c r="F65" i="27" s="1"/>
  <c r="CP6" i="11"/>
  <c r="D64" i="27" a="1"/>
  <c r="D64" i="27" s="1"/>
  <c r="AM76" i="27"/>
  <c r="CM8" i="16"/>
  <c r="K87" i="27" s="1"/>
  <c r="AH9" i="8" s="1"/>
  <c r="K86" i="27"/>
  <c r="CG78" i="27"/>
  <c r="P60" i="27"/>
  <c r="AI86" i="27"/>
  <c r="AA85" i="27"/>
  <c r="AD85" i="27" s="1"/>
  <c r="M62" i="27"/>
  <c r="N62" i="27" s="1"/>
  <c r="O62" i="27" s="1"/>
  <c r="BQ81" i="27"/>
  <c r="I63" i="27"/>
  <c r="M63" i="27" s="1"/>
  <c r="N63" i="27" s="1"/>
  <c r="O63" i="27" s="1"/>
  <c r="G64" i="27" a="1"/>
  <c r="G64" i="27" s="1"/>
  <c r="E64" i="27" a="1"/>
  <c r="E64" i="27" s="1"/>
  <c r="H65" i="27" a="1"/>
  <c r="H65" i="27" s="1"/>
  <c r="BA76" i="27" l="1"/>
  <c r="AN75" i="27"/>
  <c r="U73" i="27"/>
  <c r="V72" i="27"/>
  <c r="AE73" i="27"/>
  <c r="AC74" i="27"/>
  <c r="AK75" i="27"/>
  <c r="AB74" i="27"/>
  <c r="CR30" i="11"/>
  <c r="F66" i="27" a="1"/>
  <c r="F66" i="27" s="1"/>
  <c r="CQ6" i="11"/>
  <c r="D65" i="27" a="1"/>
  <c r="D65" i="27" s="1"/>
  <c r="AM77" i="27"/>
  <c r="P61" i="27"/>
  <c r="R61" i="27" s="1"/>
  <c r="P62" i="27"/>
  <c r="S62" i="27" s="1"/>
  <c r="Q60" i="27"/>
  <c r="T60" i="27"/>
  <c r="R60" i="27"/>
  <c r="S60" i="27"/>
  <c r="CG79" i="27"/>
  <c r="AI87" i="27"/>
  <c r="AA86" i="27"/>
  <c r="AD86" i="27" s="1"/>
  <c r="BQ82" i="27"/>
  <c r="I64" i="27"/>
  <c r="M64" i="27" s="1"/>
  <c r="N64" i="27" s="1"/>
  <c r="O64" i="27" s="1"/>
  <c r="E65" i="27" a="1"/>
  <c r="E65" i="27" s="1"/>
  <c r="H66" i="27" a="1"/>
  <c r="H66" i="27" s="1"/>
  <c r="G65" i="27" a="1"/>
  <c r="G65" i="27" s="1"/>
  <c r="U74" i="27" l="1"/>
  <c r="V73" i="27"/>
  <c r="AE74" i="27"/>
  <c r="AC75" i="27"/>
  <c r="AK76" i="27"/>
  <c r="AB75" i="27"/>
  <c r="Y72" i="27"/>
  <c r="X72" i="27"/>
  <c r="Z72" i="27"/>
  <c r="W72" i="27"/>
  <c r="BA77" i="27"/>
  <c r="AN76" i="27"/>
  <c r="AG35" i="8"/>
  <c r="CS30" i="11"/>
  <c r="F67" i="27" a="1"/>
  <c r="F67" i="27" s="1"/>
  <c r="CR6" i="11"/>
  <c r="D66" i="27" a="1"/>
  <c r="D66" i="27" s="1"/>
  <c r="AA87" i="27"/>
  <c r="AM78" i="27"/>
  <c r="Q61" i="27"/>
  <c r="T62" i="27"/>
  <c r="T61" i="27"/>
  <c r="Q62" i="27"/>
  <c r="R62" i="27"/>
  <c r="P63" i="27"/>
  <c r="Q63" i="27" s="1"/>
  <c r="S61" i="27"/>
  <c r="BQ83" i="27"/>
  <c r="CG80" i="27"/>
  <c r="I65" i="27"/>
  <c r="M65" i="27" s="1"/>
  <c r="N65" i="27" s="1"/>
  <c r="O65" i="27" s="1"/>
  <c r="H67" i="27" a="1"/>
  <c r="H67" i="27" s="1"/>
  <c r="E66" i="27" a="1"/>
  <c r="E66" i="27" s="1"/>
  <c r="G66" i="27" a="1"/>
  <c r="G66" i="27" s="1"/>
  <c r="V74" i="27" l="1"/>
  <c r="U75" i="27"/>
  <c r="AE75" i="27"/>
  <c r="AK77" i="27"/>
  <c r="AC76" i="27"/>
  <c r="AB76" i="27"/>
  <c r="X73" i="27"/>
  <c r="W73" i="27"/>
  <c r="Y73" i="27"/>
  <c r="Z73" i="27"/>
  <c r="BA78" i="27"/>
  <c r="AN77" i="27"/>
  <c r="AG39" i="8"/>
  <c r="AD87" i="27"/>
  <c r="AG41" i="8" s="1"/>
  <c r="CT30" i="11"/>
  <c r="F68" i="27" a="1"/>
  <c r="F68" i="27" s="1"/>
  <c r="E4" i="28" a="1"/>
  <c r="E4" i="28" s="1"/>
  <c r="CS6" i="11"/>
  <c r="D67" i="27" a="1"/>
  <c r="D67" i="27" s="1"/>
  <c r="AM79" i="27"/>
  <c r="R63" i="27"/>
  <c r="T63" i="27"/>
  <c r="S63" i="27"/>
  <c r="CG81" i="27"/>
  <c r="P64" i="27"/>
  <c r="T64" i="27" s="1"/>
  <c r="BQ84" i="27"/>
  <c r="E67" i="27" a="1"/>
  <c r="E67" i="27" s="1"/>
  <c r="I66" i="27"/>
  <c r="M66" i="27" s="1"/>
  <c r="N66" i="27" s="1"/>
  <c r="O66" i="27" s="1"/>
  <c r="H68" i="27" a="1"/>
  <c r="H68" i="27" s="1"/>
  <c r="G67" i="27" a="1"/>
  <c r="G67" i="27" s="1"/>
  <c r="AE76" i="27" l="1"/>
  <c r="U76" i="27"/>
  <c r="AC77" i="27"/>
  <c r="AK78" i="27"/>
  <c r="AB77" i="27"/>
  <c r="Z74" i="27"/>
  <c r="X74" i="27"/>
  <c r="W74" i="27"/>
  <c r="Y74" i="27"/>
  <c r="BA79" i="27"/>
  <c r="AN78" i="27"/>
  <c r="V75" i="27"/>
  <c r="CU30" i="11"/>
  <c r="F69" i="27" a="1"/>
  <c r="F69" i="27" s="1"/>
  <c r="CT6" i="11"/>
  <c r="D68" i="27" a="1"/>
  <c r="D68" i="27" s="1"/>
  <c r="AM80" i="27"/>
  <c r="Q64" i="27"/>
  <c r="R64" i="27"/>
  <c r="S64" i="27"/>
  <c r="CG82" i="27"/>
  <c r="BQ85" i="27"/>
  <c r="I67" i="27"/>
  <c r="M67" i="27" s="1"/>
  <c r="N67" i="27" s="1"/>
  <c r="O67" i="27" s="1"/>
  <c r="P65" i="27"/>
  <c r="E68" i="27" a="1"/>
  <c r="E68" i="27" s="1"/>
  <c r="G68" i="27" a="1"/>
  <c r="G68" i="27" s="1"/>
  <c r="H69" i="27" a="1"/>
  <c r="H69" i="27" s="1"/>
  <c r="V76" i="27" l="1"/>
  <c r="AE77" i="27"/>
  <c r="U77" i="27"/>
  <c r="AC78" i="27"/>
  <c r="AK79" i="27"/>
  <c r="AB78" i="27"/>
  <c r="BA80" i="27"/>
  <c r="AN79" i="27"/>
  <c r="X75" i="27"/>
  <c r="Y75" i="27"/>
  <c r="W75" i="27"/>
  <c r="Z75" i="27"/>
  <c r="CV30" i="11"/>
  <c r="F70" i="27" a="1"/>
  <c r="F70" i="27" s="1"/>
  <c r="CU6" i="11"/>
  <c r="D69" i="27" a="1"/>
  <c r="D69" i="27" s="1"/>
  <c r="AM81" i="27"/>
  <c r="BQ86" i="27"/>
  <c r="P66" i="27"/>
  <c r="S66" i="27" s="1"/>
  <c r="CG83" i="27"/>
  <c r="G69" i="27" a="1"/>
  <c r="G69" i="27" s="1"/>
  <c r="E69" i="27" a="1"/>
  <c r="E69" i="27" s="1"/>
  <c r="I68" i="27"/>
  <c r="M68" i="27" s="1"/>
  <c r="N68" i="27" s="1"/>
  <c r="O68" i="27" s="1"/>
  <c r="S65" i="27"/>
  <c r="T65" i="27"/>
  <c r="Q65" i="27"/>
  <c r="R65" i="27"/>
  <c r="H70" i="27" a="1"/>
  <c r="H70" i="27" s="1"/>
  <c r="AC79" i="27" l="1"/>
  <c r="AK80" i="27"/>
  <c r="AB79" i="27"/>
  <c r="V77" i="27"/>
  <c r="U78" i="27"/>
  <c r="AE78" i="27"/>
  <c r="BA81" i="27"/>
  <c r="AN80" i="27"/>
  <c r="Y76" i="27"/>
  <c r="Z76" i="27"/>
  <c r="X76" i="27"/>
  <c r="W76" i="27"/>
  <c r="CW30" i="11"/>
  <c r="F71" i="27" a="1"/>
  <c r="F71" i="27" s="1"/>
  <c r="CV6" i="11"/>
  <c r="D70" i="27" a="1"/>
  <c r="D70" i="27" s="1"/>
  <c r="AM82" i="27"/>
  <c r="T66" i="27"/>
  <c r="Q66" i="27"/>
  <c r="CG84" i="27"/>
  <c r="BQ87" i="27"/>
  <c r="R66" i="27"/>
  <c r="I69" i="27"/>
  <c r="M69" i="27" s="1"/>
  <c r="N69" i="27" s="1"/>
  <c r="O69" i="27" s="1"/>
  <c r="P67" i="27"/>
  <c r="E70" i="27" a="1"/>
  <c r="E70" i="27" s="1"/>
  <c r="H71" i="27" a="1"/>
  <c r="H71" i="27" s="1"/>
  <c r="G70" i="27" a="1"/>
  <c r="G70" i="27" s="1"/>
  <c r="BA82" i="27" l="1"/>
  <c r="AN81" i="27"/>
  <c r="W77" i="27"/>
  <c r="Y77" i="27"/>
  <c r="Z77" i="27"/>
  <c r="X77" i="27"/>
  <c r="V78" i="27"/>
  <c r="AE79" i="27"/>
  <c r="U79" i="27"/>
  <c r="AK81" i="27"/>
  <c r="AC80" i="27"/>
  <c r="AB80" i="27"/>
  <c r="CX30" i="11"/>
  <c r="F72" i="27" a="1"/>
  <c r="F72" i="27" s="1"/>
  <c r="CW6" i="11"/>
  <c r="D71" i="27" a="1"/>
  <c r="D71" i="27" s="1"/>
  <c r="AM83" i="27"/>
  <c r="P68" i="27"/>
  <c r="S68" i="27" s="1"/>
  <c r="CG85" i="27"/>
  <c r="I70" i="27"/>
  <c r="E71" i="27" a="1"/>
  <c r="E71" i="27" s="1"/>
  <c r="R67" i="27"/>
  <c r="Q67" i="27"/>
  <c r="T67" i="27"/>
  <c r="S67" i="27"/>
  <c r="G71" i="27" a="1"/>
  <c r="G71" i="27" s="1"/>
  <c r="H72" i="27" a="1"/>
  <c r="H72" i="27" s="1"/>
  <c r="Z78" i="27" l="1"/>
  <c r="W78" i="27"/>
  <c r="Y78" i="27"/>
  <c r="X78" i="27"/>
  <c r="AK82" i="27"/>
  <c r="AC81" i="27"/>
  <c r="AB81" i="27"/>
  <c r="AE80" i="27"/>
  <c r="V79" i="27"/>
  <c r="U80" i="27"/>
  <c r="BA83" i="27"/>
  <c r="AN82" i="27"/>
  <c r="CY30" i="11"/>
  <c r="F73" i="27" a="1"/>
  <c r="F73" i="27" s="1"/>
  <c r="CX6" i="11"/>
  <c r="D72" i="27" a="1"/>
  <c r="D72" i="27" s="1"/>
  <c r="AM84" i="27"/>
  <c r="R68" i="27"/>
  <c r="T68" i="27"/>
  <c r="Q68" i="27"/>
  <c r="M70" i="27"/>
  <c r="N70" i="27" s="1"/>
  <c r="O70" i="27" s="1"/>
  <c r="CG86" i="27"/>
  <c r="I71" i="27"/>
  <c r="E72" i="27" a="1"/>
  <c r="E72" i="27" s="1"/>
  <c r="H73" i="27" a="1"/>
  <c r="H73" i="27" s="1"/>
  <c r="G72" i="27" a="1"/>
  <c r="G72" i="27" s="1"/>
  <c r="BA84" i="27" l="1"/>
  <c r="AN83" i="27"/>
  <c r="U81" i="27"/>
  <c r="AE81" i="27"/>
  <c r="V80" i="27"/>
  <c r="AC82" i="27"/>
  <c r="AK83" i="27"/>
  <c r="AB82" i="27"/>
  <c r="W79" i="27"/>
  <c r="Y79" i="27"/>
  <c r="X79" i="27"/>
  <c r="Z79" i="27"/>
  <c r="CZ30" i="11"/>
  <c r="F74" i="27" a="1"/>
  <c r="F74" i="27" s="1"/>
  <c r="CY6" i="11"/>
  <c r="D73" i="27" a="1"/>
  <c r="D73" i="27" s="1"/>
  <c r="AM85" i="27"/>
  <c r="P69" i="27"/>
  <c r="M71" i="27"/>
  <c r="N71" i="27" s="1"/>
  <c r="O71" i="27" s="1"/>
  <c r="CG87" i="27"/>
  <c r="H74" i="27" a="1"/>
  <c r="H74" i="27" s="1"/>
  <c r="E73" i="27" a="1"/>
  <c r="E73" i="27" s="1"/>
  <c r="I72" i="27"/>
  <c r="M72" i="27" s="1"/>
  <c r="N72" i="27" s="1"/>
  <c r="O72" i="27" s="1"/>
  <c r="G73" i="27" a="1"/>
  <c r="G73" i="27" s="1"/>
  <c r="V81" i="27" l="1"/>
  <c r="AE82" i="27"/>
  <c r="U82" i="27"/>
  <c r="AC83" i="27"/>
  <c r="AK84" i="27"/>
  <c r="AB83" i="27"/>
  <c r="V82" i="27" s="1"/>
  <c r="W82" i="27" s="1"/>
  <c r="W80" i="27"/>
  <c r="Y80" i="27"/>
  <c r="X80" i="27"/>
  <c r="Z80" i="27"/>
  <c r="BA85" i="27"/>
  <c r="AN84" i="27"/>
  <c r="DA30" i="11"/>
  <c r="F75" i="27" a="1"/>
  <c r="F75" i="27" s="1"/>
  <c r="CZ6" i="11"/>
  <c r="D74" i="27" a="1"/>
  <c r="D74" i="27" s="1"/>
  <c r="AM86" i="27"/>
  <c r="P70" i="27"/>
  <c r="T69" i="27"/>
  <c r="S69" i="27"/>
  <c r="R69" i="27"/>
  <c r="Q69" i="27"/>
  <c r="I73" i="27"/>
  <c r="M73" i="27" s="1"/>
  <c r="N73" i="27" s="1"/>
  <c r="O73" i="27" s="1"/>
  <c r="G74" i="27" a="1"/>
  <c r="G74" i="27" s="1"/>
  <c r="P71" i="27"/>
  <c r="E74" i="27" a="1"/>
  <c r="E74" i="27" s="1"/>
  <c r="H75" i="27" a="1"/>
  <c r="H75" i="27" s="1"/>
  <c r="Y82" i="27" l="1"/>
  <c r="AK85" i="27"/>
  <c r="AC84" i="27"/>
  <c r="AB84" i="27"/>
  <c r="X82" i="27"/>
  <c r="Z82" i="27"/>
  <c r="BA86" i="27"/>
  <c r="AN85" i="27"/>
  <c r="U83" i="27"/>
  <c r="AE83" i="27"/>
  <c r="W81" i="27"/>
  <c r="X81" i="27"/>
  <c r="Z81" i="27"/>
  <c r="Y81" i="27"/>
  <c r="DB30" i="11"/>
  <c r="F76" i="27" a="1"/>
  <c r="F76" i="27" s="1"/>
  <c r="DA6" i="11"/>
  <c r="D75" i="27" a="1"/>
  <c r="D75" i="27" s="1"/>
  <c r="AM87" i="27"/>
  <c r="P72" i="27"/>
  <c r="S72" i="27" s="1"/>
  <c r="Q70" i="27"/>
  <c r="R70" i="27"/>
  <c r="T70" i="27"/>
  <c r="S70" i="27"/>
  <c r="I74" i="27"/>
  <c r="M74" i="27" s="1"/>
  <c r="N74" i="27" s="1"/>
  <c r="O74" i="27" s="1"/>
  <c r="H76" i="27" a="1"/>
  <c r="H76" i="27" s="1"/>
  <c r="E75" i="27" a="1"/>
  <c r="E75" i="27" s="1"/>
  <c r="T71" i="27"/>
  <c r="S71" i="27"/>
  <c r="R71" i="27"/>
  <c r="Q71" i="27"/>
  <c r="G75" i="27" a="1"/>
  <c r="G75" i="27" s="1"/>
  <c r="AE84" i="27" l="1"/>
  <c r="V83" i="27"/>
  <c r="U84" i="27"/>
  <c r="BA87" i="27"/>
  <c r="AN87" i="27" s="1"/>
  <c r="AH38" i="8" s="1"/>
  <c r="AN86" i="27"/>
  <c r="AC85" i="27"/>
  <c r="AK86" i="27"/>
  <c r="AB85" i="27"/>
  <c r="AH35" i="8"/>
  <c r="DC30" i="11"/>
  <c r="F77" i="27" a="1"/>
  <c r="F77" i="27" s="1"/>
  <c r="DB6" i="11"/>
  <c r="D76" i="27" a="1"/>
  <c r="D76" i="27" s="1"/>
  <c r="P73" i="27"/>
  <c r="Q73" i="27" s="1"/>
  <c r="R72" i="27"/>
  <c r="T72" i="27"/>
  <c r="Q72" i="27"/>
  <c r="G76" i="27" a="1"/>
  <c r="G76" i="27" s="1"/>
  <c r="E76" i="27" a="1"/>
  <c r="E76" i="27" s="1"/>
  <c r="I75" i="27"/>
  <c r="M75" i="27" s="1"/>
  <c r="N75" i="27" s="1"/>
  <c r="O75" i="27" s="1"/>
  <c r="H77" i="27" a="1"/>
  <c r="H77" i="27" s="1"/>
  <c r="AE85" i="27" l="1"/>
  <c r="U85" i="27"/>
  <c r="V84" i="27"/>
  <c r="Y83" i="27"/>
  <c r="X83" i="27"/>
  <c r="Z83" i="27"/>
  <c r="W83" i="27"/>
  <c r="AC86" i="27"/>
  <c r="AK87" i="27"/>
  <c r="AB86" i="27"/>
  <c r="DD30" i="11"/>
  <c r="F78" i="27" a="1"/>
  <c r="F78" i="27" s="1"/>
  <c r="DC6" i="11"/>
  <c r="D77" i="27" a="1"/>
  <c r="D77" i="27" s="1"/>
  <c r="R73" i="27"/>
  <c r="T73" i="27"/>
  <c r="S73" i="27"/>
  <c r="I76" i="27"/>
  <c r="M76" i="27" s="1"/>
  <c r="N76" i="27" s="1"/>
  <c r="O76" i="27" s="1"/>
  <c r="H78" i="27" a="1"/>
  <c r="H78" i="27" s="1"/>
  <c r="E77" i="27" a="1"/>
  <c r="E77" i="27" s="1"/>
  <c r="G77" i="27" a="1"/>
  <c r="G77" i="27" s="1"/>
  <c r="P74" i="27"/>
  <c r="V85" i="27" l="1"/>
  <c r="AE86" i="27"/>
  <c r="U86" i="27"/>
  <c r="AC87" i="27"/>
  <c r="AB87" i="27"/>
  <c r="W84" i="27"/>
  <c r="Y84" i="27"/>
  <c r="Z84" i="27"/>
  <c r="X84" i="27"/>
  <c r="DE30" i="11"/>
  <c r="F79" i="27" a="1"/>
  <c r="F79" i="27" s="1"/>
  <c r="DD6" i="11"/>
  <c r="D78" i="27" a="1"/>
  <c r="D78" i="27" s="1"/>
  <c r="M5" i="28"/>
  <c r="L5" i="28"/>
  <c r="AH44" i="8" s="1"/>
  <c r="P75" i="27"/>
  <c r="Q75" i="27" s="1"/>
  <c r="S74" i="27"/>
  <c r="R74" i="27"/>
  <c r="Q74" i="27"/>
  <c r="T74" i="27"/>
  <c r="G78" i="27" a="1"/>
  <c r="G78" i="27" s="1"/>
  <c r="E78" i="27" a="1"/>
  <c r="E78" i="27" s="1"/>
  <c r="I77" i="27"/>
  <c r="M77" i="27" s="1"/>
  <c r="N77" i="27" s="1"/>
  <c r="O77" i="27" s="1"/>
  <c r="H79" i="27" a="1"/>
  <c r="H79" i="27" s="1"/>
  <c r="AH39" i="8" l="1"/>
  <c r="AG40" i="8" s="1"/>
  <c r="V87" i="27"/>
  <c r="U87" i="27"/>
  <c r="V86" i="27"/>
  <c r="AE87" i="27"/>
  <c r="AH41" i="8" s="1"/>
  <c r="D4" i="28" a="1"/>
  <c r="D4" i="28" s="1"/>
  <c r="Y85" i="27"/>
  <c r="W85" i="27"/>
  <c r="Z85" i="27"/>
  <c r="X85" i="27"/>
  <c r="DF30" i="11"/>
  <c r="F80" i="27" a="1"/>
  <c r="F80" i="27" s="1"/>
  <c r="DE6" i="11"/>
  <c r="D79" i="27" a="1"/>
  <c r="D79" i="27" s="1"/>
  <c r="T75" i="27"/>
  <c r="S75" i="27"/>
  <c r="R75" i="27"/>
  <c r="I78" i="27"/>
  <c r="M78" i="27" s="1"/>
  <c r="N78" i="27" s="1"/>
  <c r="O78" i="27" s="1"/>
  <c r="P76" i="27"/>
  <c r="E79" i="27" a="1"/>
  <c r="E79" i="27" s="1"/>
  <c r="G79" i="27" a="1"/>
  <c r="G79" i="27" s="1"/>
  <c r="H80" i="27" a="1"/>
  <c r="H80" i="27" s="1"/>
  <c r="Z86" i="27" l="1"/>
  <c r="W86" i="27"/>
  <c r="Y86" i="27"/>
  <c r="X86" i="27"/>
  <c r="O5" i="28"/>
  <c r="N5" i="28"/>
  <c r="X87" i="27"/>
  <c r="W87" i="27"/>
  <c r="Z87" i="27"/>
  <c r="Y87" i="27"/>
  <c r="DG30" i="11"/>
  <c r="F81" i="27" a="1"/>
  <c r="F81" i="27" s="1"/>
  <c r="DF6" i="11"/>
  <c r="D80" i="27" a="1"/>
  <c r="D80" i="27" s="1"/>
  <c r="P77" i="27"/>
  <c r="T77" i="27" s="1"/>
  <c r="H81" i="27" a="1"/>
  <c r="H81" i="27" s="1"/>
  <c r="E80" i="27" a="1"/>
  <c r="E80" i="27" s="1"/>
  <c r="G80" i="27" a="1"/>
  <c r="G80" i="27" s="1"/>
  <c r="T76" i="27"/>
  <c r="S76" i="27"/>
  <c r="R76" i="27"/>
  <c r="Q76" i="27"/>
  <c r="I79" i="27"/>
  <c r="M79" i="27" s="1"/>
  <c r="N79" i="27" s="1"/>
  <c r="O79" i="27" s="1"/>
  <c r="DH30" i="11" l="1"/>
  <c r="F82" i="27" a="1"/>
  <c r="F82" i="27" s="1"/>
  <c r="DG6" i="11"/>
  <c r="D81" i="27" a="1"/>
  <c r="D81" i="27" s="1"/>
  <c r="S77" i="27"/>
  <c r="R77" i="27"/>
  <c r="Q77" i="27"/>
  <c r="P78" i="27"/>
  <c r="G81" i="27" a="1"/>
  <c r="G81" i="27" s="1"/>
  <c r="E81" i="27" a="1"/>
  <c r="E81" i="27" s="1"/>
  <c r="I80" i="27"/>
  <c r="M80" i="27" s="1"/>
  <c r="N80" i="27" s="1"/>
  <c r="O80" i="27" s="1"/>
  <c r="H82" i="27" a="1"/>
  <c r="H82" i="27" s="1"/>
  <c r="DI30" i="11" l="1"/>
  <c r="F83" i="27" a="1"/>
  <c r="F83" i="27" s="1"/>
  <c r="DH6" i="11"/>
  <c r="D82" i="27" a="1"/>
  <c r="D82" i="27" s="1"/>
  <c r="E82" i="27" a="1"/>
  <c r="E82" i="27" s="1"/>
  <c r="I81" i="27"/>
  <c r="M81" i="27" s="1"/>
  <c r="N81" i="27" s="1"/>
  <c r="O81" i="27" s="1"/>
  <c r="H83" i="27" a="1"/>
  <c r="H83" i="27" s="1"/>
  <c r="G82" i="27" a="1"/>
  <c r="G82" i="27" s="1"/>
  <c r="T78" i="27"/>
  <c r="S78" i="27"/>
  <c r="R78" i="27"/>
  <c r="Q78" i="27"/>
  <c r="P79" i="27"/>
  <c r="DJ30" i="11" l="1"/>
  <c r="F84" i="27" a="1"/>
  <c r="F84" i="27" s="1"/>
  <c r="DI6" i="11"/>
  <c r="D83" i="27" a="1"/>
  <c r="D83" i="27" s="1"/>
  <c r="P80" i="27"/>
  <c r="Q80" i="27" s="1"/>
  <c r="G83" i="27" a="1"/>
  <c r="G83" i="27" s="1"/>
  <c r="H84" i="27" a="1"/>
  <c r="H84" i="27" s="1"/>
  <c r="R79" i="27"/>
  <c r="Q79" i="27"/>
  <c r="S79" i="27"/>
  <c r="T79" i="27"/>
  <c r="E83" i="27" a="1"/>
  <c r="E83" i="27" s="1"/>
  <c r="I82" i="27"/>
  <c r="DK30" i="11" l="1"/>
  <c r="F85" i="27" a="1"/>
  <c r="F85" i="27" s="1"/>
  <c r="DJ6" i="11"/>
  <c r="D84" i="27" a="1"/>
  <c r="D84" i="27" s="1"/>
  <c r="R80" i="27"/>
  <c r="S80" i="27"/>
  <c r="T80" i="27"/>
  <c r="M82" i="27"/>
  <c r="N82" i="27" s="1"/>
  <c r="O82" i="27" s="1"/>
  <c r="I83" i="27"/>
  <c r="M83" i="27" s="1"/>
  <c r="N83" i="27" s="1"/>
  <c r="O83" i="27" s="1"/>
  <c r="H85" i="27" a="1"/>
  <c r="H85" i="27" s="1"/>
  <c r="E84" i="27" a="1"/>
  <c r="E84" i="27" s="1"/>
  <c r="G84" i="27" a="1"/>
  <c r="G84" i="27" s="1"/>
  <c r="DL30" i="11" l="1"/>
  <c r="F87" i="27" s="1" a="1"/>
  <c r="F87" i="27" s="1"/>
  <c r="F86" i="27" a="1"/>
  <c r="F86" i="27" s="1"/>
  <c r="DK6" i="11"/>
  <c r="D85" i="27" a="1"/>
  <c r="D85" i="27" s="1"/>
  <c r="P82" i="27"/>
  <c r="T82" i="27" s="1"/>
  <c r="P81" i="27"/>
  <c r="I84" i="27"/>
  <c r="M84" i="27" s="1"/>
  <c r="N84" i="27" s="1"/>
  <c r="H86" i="27" a="1"/>
  <c r="H86" i="27" s="1"/>
  <c r="E85" i="27" a="1"/>
  <c r="E85" i="27" s="1"/>
  <c r="G85" i="27" a="1"/>
  <c r="G85" i="27" s="1"/>
  <c r="DL6" i="11" l="1"/>
  <c r="D87" i="27" s="1" a="1"/>
  <c r="D87" i="27" s="1"/>
  <c r="I87" i="27" s="1"/>
  <c r="AH7" i="8" s="1"/>
  <c r="D86" i="27" a="1"/>
  <c r="D86" i="27" s="1"/>
  <c r="O84" i="27"/>
  <c r="Q82" i="27"/>
  <c r="R82" i="27"/>
  <c r="S82" i="27"/>
  <c r="P83" i="27"/>
  <c r="T83" i="27" s="1"/>
  <c r="T81" i="27"/>
  <c r="S81" i="27"/>
  <c r="R81" i="27"/>
  <c r="Q81" i="27"/>
  <c r="E86" i="27" a="1"/>
  <c r="E86" i="27" s="1"/>
  <c r="I85" i="27"/>
  <c r="M85" i="27" s="1"/>
  <c r="N85" i="27" s="1"/>
  <c r="O85" i="27" s="1"/>
  <c r="G86" i="27" a="1"/>
  <c r="G86" i="27" s="1"/>
  <c r="Q83" i="27" l="1"/>
  <c r="R83" i="27"/>
  <c r="S83" i="27"/>
  <c r="P84" i="27"/>
  <c r="I86" i="27"/>
  <c r="M86" i="27" s="1"/>
  <c r="N86" i="27" s="1"/>
  <c r="O86" i="27" l="1"/>
  <c r="M87" i="27"/>
  <c r="N87" i="27" s="1"/>
  <c r="Q84" i="27"/>
  <c r="T84" i="27"/>
  <c r="S84" i="27"/>
  <c r="R84" i="27"/>
  <c r="P85" i="27"/>
  <c r="B4" i="28" l="1" a="1"/>
  <c r="B4" i="28" s="1"/>
  <c r="AH11" i="8"/>
  <c r="AG12" i="8" s="1"/>
  <c r="P87" i="27"/>
  <c r="R87" i="27" s="1"/>
  <c r="O87" i="27"/>
  <c r="P86" i="27"/>
  <c r="Q85" i="27"/>
  <c r="T85" i="27"/>
  <c r="S85" i="27"/>
  <c r="R85" i="27"/>
  <c r="S87" i="27" l="1"/>
  <c r="T87" i="27"/>
  <c r="G5" i="28" s="1"/>
  <c r="AH14" i="8" s="1"/>
  <c r="Q87" i="27"/>
  <c r="T86" i="27"/>
  <c r="J5" i="28" s="1"/>
  <c r="H5" i="28"/>
  <c r="Q86" i="27"/>
  <c r="R86" i="27"/>
  <c r="S86" i="27"/>
  <c r="I5"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Morten Mikkel Mejlhede Rolsted | Viegand Maagøe</author>
  </authors>
  <commentList>
    <comment ref="L4" authorId="0" shapeId="0" xr:uid="{5D701157-6827-4EA6-A12E-D2B5CA6B2E44}">
      <text>
        <r>
          <rPr>
            <b/>
            <sz val="9"/>
            <color indexed="81"/>
            <rFont val="Tahoma"/>
            <family val="2"/>
          </rPr>
          <t>Påvirkningen fra facadevedligehold fordeles jævnt over tid med en levetid for maling og puds på hhv. 12 og 30 år for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Morten Mikkel Mejlhede Rolsted | Viegand Maagøe</author>
    <author>Luzie Rück | Viegand Maagøe</author>
  </authors>
  <commentList>
    <comment ref="AE7" authorId="0" shapeId="0" xr:uid="{408270A6-46B0-45D4-A410-280248368D70}">
      <text>
        <r>
          <rPr>
            <b/>
            <sz val="9"/>
            <color indexed="81"/>
            <rFont val="Tahoma"/>
            <family val="2"/>
          </rPr>
          <t>Estimeret nedregulering fra murstens-tegl til facade-tegl</t>
        </r>
      </text>
    </comment>
    <comment ref="AE11" authorId="0" shapeId="0" xr:uid="{B0B09DFB-6F98-40E3-B257-436AF5BD9C5A}">
      <text>
        <r>
          <rPr>
            <b/>
            <sz val="9"/>
            <color indexed="81"/>
            <rFont val="Tahoma"/>
            <family val="2"/>
          </rPr>
          <t>Omregner til kvadratmeter ud fra en afstand mellem lægterne på 60 cm = 1/0,6 gange pr. kvadratmeter</t>
        </r>
      </text>
    </comment>
    <comment ref="Q20" authorId="1" shapeId="0" xr:uid="{3CE72EA7-65F5-4901-BD59-0C910FE891F9}">
      <text>
        <r>
          <rPr>
            <sz val="9"/>
            <color indexed="81"/>
            <rFont val="Tahoma"/>
            <family val="2"/>
          </rPr>
          <t xml:space="preserve">Divide by 0,037 (klasse 37) to normalize and get it to /m3, later on its multiplied by the thickness of the insulation.
</t>
        </r>
      </text>
    </comment>
    <comment ref="Q23" authorId="1" shapeId="0" xr:uid="{3E058ACB-E1D3-4A66-BCD7-0B3EB2EB48F2}">
      <text>
        <r>
          <rPr>
            <sz val="9"/>
            <color indexed="81"/>
            <rFont val="Tahoma"/>
            <family val="2"/>
          </rPr>
          <t>deles med 0,1 da påvirkningen er for 100mm isolering og ganges med den faktiske tykkelse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Oliver Groth Christensen | Viegand Maagøe</author>
  </authors>
  <commentList>
    <comment ref="B31" authorId="0" shapeId="0" xr:uid="{F49A05F8-ECFB-4C8D-9185-9217FDBE3B32}">
      <text>
        <r>
          <rPr>
            <sz val="11"/>
            <color theme="1"/>
            <rFont val="Calibri"/>
            <family val="2"/>
            <scheme val="minor"/>
          </rPr>
          <t>Kilde: Beregning af påvirkning for modul A5, er baseret på en omregning fra værdier, fra BUILD 2023:14 "Ressourceforbrug på byggepladsen" rapporten. Værdierne blev omregnet fra nybyggeri og horisontal m2, til en renovering og pr. vertikal m2. 
Se uddybning bag beregningen I beslutningsnotatet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Morten Mikkel Mejlhede Rolsted | Viegand Maagøe</author>
  </authors>
  <commentList>
    <comment ref="B2" authorId="0" shapeId="0" xr:uid="{2B66D854-99A9-4085-855A-0620E37310CF}">
      <text>
        <r>
          <rPr>
            <sz val="9"/>
            <color indexed="81"/>
            <rFont val="Tahoma"/>
            <family val="2"/>
          </rPr>
          <t>EL anvendes ikke i dette værktøj, da det antages, at alle karrerebygninger opvarmes med fjernvarme.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<sst xmlns="http://schemas.openxmlformats.org/spreadsheetml/2006/main" count="1101" uniqueCount="564">
  <si>
    <t>Beregningsværktøj til Klimafacade+</t>
  </si>
  <si>
    <t>Fase 2, udvikling af beregningsværktøj</t>
  </si>
  <si>
    <t xml:space="preserve">Dato: </t>
  </si>
  <si>
    <t>Version:</t>
  </si>
  <si>
    <t>Lavet af:</t>
  </si>
  <si>
    <t>Viegand Maagøe</t>
  </si>
  <si>
    <t xml:space="preserve">Lavet til: </t>
  </si>
  <si>
    <t>Københavns Kommune (Byfornyelse)</t>
  </si>
  <si>
    <t>Introduktion til beregningsværktøj for Klimafacade+</t>
  </si>
  <si>
    <t>Om Klimafacade+</t>
  </si>
  <si>
    <t>Klimafacade+ er en løsning til facaderenovering, der imødekommer behovet for at energirenovere karrébygninger. Klimafacade+ påføres uden på den eksisterende facade, og danner sammenhæng mellem energirenovering, klimatilpasning og forbedret boligkvalitet.</t>
  </si>
  <si>
    <t>Om beregningsværktøjet</t>
  </si>
  <si>
    <t>Dette beregningsværktøj er en hjælp til dem, der overvejer at efterisolere en karrébygning med en Klimafacade+ løsning. Værktøjet bruges i den indledende beslutningsfase til at beregne om - og i så fald efter hvor lang tid - en klimafacade med den valgte materialesammensætning bliver rentabel fra et klimamæssigt (LCA) og økonomisk (LCC) perspektiv.
Rentabilitet forholder sig til, om det kan betale sig at bibeholde bygningen som den er, med dens nuværende energiforbrug og vedligeholdelse, eller om det er bedre at efterisolere bygningen med en Klimafacade+ løsning, der medfører anvendelse af nye materialer, men vil nedbringe energiforbruget. Resultatet vises på uafhængige to grafer - én for klimapåvirkning og én for økonomi.</t>
  </si>
  <si>
    <t>Sådan vises resultatet</t>
  </si>
  <si>
    <t>Værktøjet kan beregne den forventede tilbagebetalingstid ud fra både et klimamæssigt og økonomisk perspektiv. Resultaterne vises på to grafer – en for den klimamæssige rentabilitet og en for den økonomiske rentabilitet. Graferne er uafhængige af hinanden, og resultaterne kan pege i forskellige retninger. Værktøjet kan yderligere anvendes til at indikere, hvilke materialer der vil være mest rentable i en Klimafacade+. Husk, at værktøjet er baseret på generiske tal og overslag, og præcise beregninger bør derfor foretages i designfasen.</t>
  </si>
  <si>
    <t>•</t>
  </si>
  <si>
    <t>Forbehold</t>
  </si>
  <si>
    <t>Beregningsværktøjet kan bruges i den indledende beslutningsfase, men bør ikke bruges til den endelige dimensionering af en facaderenovering.</t>
  </si>
  <si>
    <t xml:space="preserve">Byggeriet skal leve op til de almindelige krav i f.eks. Bygningsreglementet og Arbejdsmiljølovgivningen, ligesom andre regler om byggeri jf. gældende lovgivning ved udførelse af en Klimafacade+ altid skal være overholdt. </t>
  </si>
  <si>
    <t>Resultaterne i graferne kan vise betydelige forskelle i påvirkninger eller omkostninger, alt efter hvilke materialer der vælges i det endelige projekt. I dette beregningsværktøj arbejdes der med gennemsnitsværdier. Den faktiske omkostning eller påvirkning vil derfor afvige fra de beregnede i dette værktøj.</t>
  </si>
  <si>
    <t>De (lave) emissionsfaktorer for fjernvarme, som indgår i værktøjets datagrundlag, afhænger af en antagelse baseret på Energistyrelsens energifremskrivning, som bl.a. beror på, at bygningsmassens energiforbrug reduceres. Den faktiske besparelse ved en efterisolering kan være større eller lavere, alt efter om det reelle energiforbrug er højere eller lavere end det beregnede.</t>
  </si>
  <si>
    <t>Værktøjet har ikke inkluderet en prissætning af CO₂.</t>
  </si>
  <si>
    <t>Klimapåvirkningen beregnes videst muligt jf. reglerne i Bygningsreglementet §297 som gælder for nybyggeri, dog med tilpasninger, da der her er tale om renovering.</t>
  </si>
  <si>
    <t>INDTASTNING</t>
  </si>
  <si>
    <t>Sådan gør du</t>
  </si>
  <si>
    <t>Klimapåvirkning (LCA)</t>
  </si>
  <si>
    <t>Forklaring</t>
  </si>
  <si>
    <t>Vedligehold</t>
  </si>
  <si>
    <t>Byggeprocess</t>
  </si>
  <si>
    <t>m²</t>
  </si>
  <si>
    <t>Energibesparelse</t>
  </si>
  <si>
    <t>Facadekomponent</t>
  </si>
  <si>
    <t>Materiale</t>
  </si>
  <si>
    <t>Facadebeklædning</t>
  </si>
  <si>
    <t>Puds med pudsbærende plade</t>
  </si>
  <si>
    <t>Økonomi (LCC)</t>
  </si>
  <si>
    <t>Vindspærre</t>
  </si>
  <si>
    <t>Vindpap</t>
  </si>
  <si>
    <t>Glasuld</t>
  </si>
  <si>
    <t>200 mm</t>
  </si>
  <si>
    <t>Afstandsprofil</t>
  </si>
  <si>
    <t>Aluminium</t>
  </si>
  <si>
    <t>Skelet</t>
  </si>
  <si>
    <t>Træ</t>
  </si>
  <si>
    <t>🛈 Genbrugsmaterialer kan med fordel anvendes ud fra et klimamæssigt hensyn. Vælger du at anvende en andel af genbrugt materiale, vil du derfor kunne se en positiv effekt på resultaterne.</t>
  </si>
  <si>
    <t>Økonomi</t>
  </si>
  <si>
    <t>Anskaffelse</t>
  </si>
  <si>
    <t>Engangsudgift</t>
  </si>
  <si>
    <t>Udskiftning</t>
  </si>
  <si>
    <t>Forsyning</t>
  </si>
  <si>
    <t>Restværdi</t>
  </si>
  <si>
    <t>Nutidsværdi</t>
  </si>
  <si>
    <t>Årsomkostning</t>
  </si>
  <si>
    <t>Årstal, periode og fjernvarme</t>
  </si>
  <si>
    <t>Etableringsår</t>
  </si>
  <si>
    <t>år</t>
  </si>
  <si>
    <t>Fjernvarmepris</t>
  </si>
  <si>
    <t>kr/kWh</t>
  </si>
  <si>
    <t>LCA metodebeskrivelse (klimapåvirkning)</t>
  </si>
  <si>
    <t>Beregningsforudsætninger</t>
  </si>
  <si>
    <t>A1</t>
  </si>
  <si>
    <t>Råmaterialer</t>
  </si>
  <si>
    <t>A2</t>
  </si>
  <si>
    <t>Transport</t>
  </si>
  <si>
    <t>A3</t>
  </si>
  <si>
    <t>Fremstilling</t>
  </si>
  <si>
    <t>B4</t>
  </si>
  <si>
    <t>Udskiftning (dog undtaget transport og udskiftningsproces)</t>
  </si>
  <si>
    <t>B6</t>
  </si>
  <si>
    <t>Energiforbrug til drift</t>
  </si>
  <si>
    <t>C3</t>
  </si>
  <si>
    <t>Forbehandling af affald</t>
  </si>
  <si>
    <t>C4</t>
  </si>
  <si>
    <t>Bortskaffelse</t>
  </si>
  <si>
    <t>D</t>
  </si>
  <si>
    <t>Potentiale for genbrug, genanvendelse og anden nyttiggørelse</t>
  </si>
  <si>
    <t>Figur 1: Bygningers livscyklus</t>
  </si>
  <si>
    <t>Modulerne i en bygnings livscyklus og deres deklaration</t>
  </si>
  <si>
    <t>A1, A2, A3</t>
  </si>
  <si>
    <t>A4, A5</t>
  </si>
  <si>
    <t>C3, C4</t>
  </si>
  <si>
    <t xml:space="preserve">Deklarerer de potentielle klimagevinster eller klimabelastninger. Det omfatter materialers mulighed for genbrug, genanvendelse eller nyttiggørelse i en anden anvendelse end den pågældende bygning. Klimapåvirkningerne fra modul D skal beregnes, men tæller ikke med i bygningens samlede klimapåvirkninger. </t>
  </si>
  <si>
    <t>-1/+1 reglen</t>
  </si>
  <si>
    <t>Genbrugte byggevarer</t>
  </si>
  <si>
    <t xml:space="preserve">Genbrugte byggevarer er jf. BR §297 sat til 0, gennem hele livscyklussen (dvs. alle moduler).  </t>
  </si>
  <si>
    <t>LCC metodebeskrivelse (økonomi)</t>
  </si>
  <si>
    <t>Den benyttede kalkulationsrente følger Finansministeriets anbefalede kalkulationsrente, som også indfases i DGNB-certificeringsordningen i 2025. Den samfundsøkonomiske kalkulationsrente er en aftagende rentetrappe, der opgøres realt og i faste priser efter følgende trappe:</t>
  </si>
  <si>
    <t>År 1-35:</t>
  </si>
  <si>
    <t xml:space="preserve">År 36-70: </t>
  </si>
  <si>
    <t xml:space="preserve">År 71-80: </t>
  </si>
  <si>
    <t>Materialepriser er primært hentet fra Molios prisdatabase d. 2. april 2024. I tilfælde hvor en materialepris ikke kunne findes i Molios database, er der benyttet prisdata fra internet research. 
Materialepriser inkluderer:</t>
  </si>
  <si>
    <t xml:space="preserve">•  </t>
  </si>
  <si>
    <t>Materialepris inkl. rabat, miljøafgift, spild og avance</t>
  </si>
  <si>
    <t>Arbejdsløn inkl. nettoløn, sociale ydelser, omkostningstillæg og avance</t>
  </si>
  <si>
    <t>Beregninger</t>
  </si>
  <si>
    <t>Komponent</t>
  </si>
  <si>
    <t>Genbrug</t>
  </si>
  <si>
    <t>Isolering</t>
  </si>
  <si>
    <t>Enhed</t>
  </si>
  <si>
    <t>Levetid</t>
  </si>
  <si>
    <t>A1-A3</t>
  </si>
  <si>
    <t>kg/m²</t>
  </si>
  <si>
    <t>År</t>
  </si>
  <si>
    <t>.</t>
  </si>
  <si>
    <t>Enhedspris</t>
  </si>
  <si>
    <t>Betragtningsperiode</t>
  </si>
  <si>
    <t>-</t>
  </si>
  <si>
    <t>Kalkulationsrente</t>
  </si>
  <si>
    <t>Prisudvikling generelt</t>
  </si>
  <si>
    <t>Byggeomkostningsindeks</t>
  </si>
  <si>
    <t>Prisudvikling for energi generelt</t>
  </si>
  <si>
    <t>Prisudvikling for fjernvarme</t>
  </si>
  <si>
    <t>Prisudvikling for gas</t>
  </si>
  <si>
    <t>Prisudvikling for el</t>
  </si>
  <si>
    <t>Prisudvikling for skatter og afgifter</t>
  </si>
  <si>
    <t>Prisudvikling for forsikring</t>
  </si>
  <si>
    <t>Prisudvikling for administration</t>
  </si>
  <si>
    <t>Engangsudgifter</t>
  </si>
  <si>
    <t>Molio prisdata</t>
  </si>
  <si>
    <t>Byggeplads</t>
  </si>
  <si>
    <t>Rådgiver</t>
  </si>
  <si>
    <t>Årlig energibesparelse</t>
  </si>
  <si>
    <t>Eksisterende facade</t>
  </si>
  <si>
    <t xml:space="preserve">Energiforbrug </t>
  </si>
  <si>
    <t>300 mm</t>
  </si>
  <si>
    <t>Standardenhed</t>
  </si>
  <si>
    <t>Pris/m²</t>
  </si>
  <si>
    <t>Aluplader</t>
  </si>
  <si>
    <t>Kalzip</t>
  </si>
  <si>
    <t>Ökobau data</t>
  </si>
  <si>
    <t>Fibercement</t>
  </si>
  <si>
    <t>BUILD LCA data</t>
  </si>
  <si>
    <t>Puds</t>
  </si>
  <si>
    <t>Produkt: Fiberpuds, cement</t>
  </si>
  <si>
    <t>kg</t>
  </si>
  <si>
    <t>Stål</t>
  </si>
  <si>
    <t>BuILD LCA data</t>
  </si>
  <si>
    <t>Teglsten</t>
  </si>
  <si>
    <t>Komproment</t>
  </si>
  <si>
    <t>EPD</t>
  </si>
  <si>
    <t>m³</t>
  </si>
  <si>
    <t>Skiffer</t>
  </si>
  <si>
    <t>Ökobau</t>
  </si>
  <si>
    <t>Træ (200 mm)</t>
  </si>
  <si>
    <t>Branche EPD</t>
  </si>
  <si>
    <t>Træ (150 mm)</t>
  </si>
  <si>
    <t>Træ (100 mm)</t>
  </si>
  <si>
    <t>Stål (200 mm)</t>
  </si>
  <si>
    <t>Stål (150 mm)</t>
  </si>
  <si>
    <t>Stål (100 mm)</t>
  </si>
  <si>
    <t>Aluminium (200 mm)</t>
  </si>
  <si>
    <t>KNAUF</t>
  </si>
  <si>
    <t>Aluminium (150 mm)</t>
  </si>
  <si>
    <t>Aluminium (100 mm)</t>
  </si>
  <si>
    <t>Glasuld (200 mm)</t>
  </si>
  <si>
    <t>Product: Mineraluld, fleksibel isolering, kl. 37</t>
  </si>
  <si>
    <t xml:space="preserve">m² with R=1 m²K/W </t>
  </si>
  <si>
    <t>Glasuld (150 mm)</t>
  </si>
  <si>
    <t>Glasuld (100 mm)</t>
  </si>
  <si>
    <t>Hamp (200 mm)</t>
  </si>
  <si>
    <t>Hamp (150 mm)</t>
  </si>
  <si>
    <t>Hamp (100 mm)</t>
  </si>
  <si>
    <t>EPD data</t>
  </si>
  <si>
    <t>EPS (200 mm)</t>
  </si>
  <si>
    <t>Product: EPS isolering, hvid, 60 kN</t>
  </si>
  <si>
    <t>m² with R=1 m²K/W</t>
  </si>
  <si>
    <t>EPS (150 mm)</t>
  </si>
  <si>
    <t>EPS (100 mm)</t>
  </si>
  <si>
    <t>Papiruld (200 mm)</t>
  </si>
  <si>
    <t>Produkt: Papiruldisolering, granulat</t>
  </si>
  <si>
    <t>Papiruld (150 mm)</t>
  </si>
  <si>
    <t>Papiruld (100 mm)</t>
  </si>
  <si>
    <t>Stenuld (200 mm)</t>
  </si>
  <si>
    <t>Stenuld (150 mm)</t>
  </si>
  <si>
    <t>Stenuld (100 mm)</t>
  </si>
  <si>
    <t>Træfiber (200 mm)</t>
  </si>
  <si>
    <t>Træfiber (150 mm)</t>
  </si>
  <si>
    <t>Træfiber (100 mm)</t>
  </si>
  <si>
    <t>Træfiberplader</t>
  </si>
  <si>
    <t xml:space="preserve">Product: Træfiberplade, vindspærre </t>
  </si>
  <si>
    <t>Krydsfiner/OSB</t>
  </si>
  <si>
    <t>EPD EGGER</t>
  </si>
  <si>
    <t>Product: : 1 m³ OSB-Platte (607 kg/m³)</t>
  </si>
  <si>
    <t>Polypropylen</t>
  </si>
  <si>
    <t>EPD Corotop</t>
  </si>
  <si>
    <t>Produkt: Alpha basis vindspærre . Corotop is a Polish brand that sell product for the danish market. Product under the brand Alpha in Denmark is from Corotop in Poland</t>
  </si>
  <si>
    <t>Fibergipsplader</t>
  </si>
  <si>
    <t>Produkt: Gipsplade, vindspærre</t>
  </si>
  <si>
    <t>Gipsplader m. glasfiberdug</t>
  </si>
  <si>
    <t>Cementspånplader</t>
  </si>
  <si>
    <t>Facadefarve</t>
  </si>
  <si>
    <t>Ökobaudat</t>
  </si>
  <si>
    <t>Bruges for vedligehold. Produkt: Facadefarve</t>
  </si>
  <si>
    <t>Grunder og mellemmaling</t>
  </si>
  <si>
    <t>Bruges for vedligehold. Produkt: Grunder og mellemmaling, 0,74 L/kg</t>
  </si>
  <si>
    <t>L</t>
  </si>
  <si>
    <t>El</t>
  </si>
  <si>
    <t>Fjernvarme</t>
  </si>
  <si>
    <t>Udklip fra rapporten fra Artelia:</t>
  </si>
  <si>
    <t>Modul A4</t>
  </si>
  <si>
    <t>Kilde:</t>
  </si>
  <si>
    <t>BUILD 2023:14 Ressourceforbrug på byggepladsen, Figur 1</t>
  </si>
  <si>
    <t>Gruppe/Undergruppe</t>
  </si>
  <si>
    <t>Gruppe</t>
  </si>
  <si>
    <t>Beton</t>
  </si>
  <si>
    <t>Undergruppe</t>
  </si>
  <si>
    <t>Konstruktionstræ</t>
  </si>
  <si>
    <t>Træplader, brædder</t>
  </si>
  <si>
    <t>Træelementer</t>
  </si>
  <si>
    <t>Stål plader og profiler</t>
  </si>
  <si>
    <t>Gips</t>
  </si>
  <si>
    <t>Gipsplader</t>
  </si>
  <si>
    <t>Mørtel og Puds</t>
  </si>
  <si>
    <t>Tegl og Mursten</t>
  </si>
  <si>
    <t>Mursten</t>
  </si>
  <si>
    <t>Cementbaserede prod. (uden beton)</t>
  </si>
  <si>
    <t>Letklinker</t>
  </si>
  <si>
    <t>Cementbaseredet mørtel og puds</t>
  </si>
  <si>
    <t>Natursten</t>
  </si>
  <si>
    <t>EPS</t>
  </si>
  <si>
    <t>Træfiber</t>
  </si>
  <si>
    <t>Mineraluld</t>
  </si>
  <si>
    <t>Membraner og overfladebehandlinger</t>
  </si>
  <si>
    <t>Tekniske bygningsinstallationer</t>
  </si>
  <si>
    <t>Solceller</t>
  </si>
  <si>
    <t>Ventilation og køl</t>
  </si>
  <si>
    <t>Modul A5</t>
  </si>
  <si>
    <t>El, varme, brændstof, affald på byggepladsen:</t>
  </si>
  <si>
    <t>kg CO₂-ækv. / vertikal m² / år</t>
  </si>
  <si>
    <t>Valgmuligheder</t>
  </si>
  <si>
    <t>&gt; Vælg facadebeklædning</t>
  </si>
  <si>
    <t>&gt; Vælg vindspærre</t>
  </si>
  <si>
    <t>m³/m²</t>
  </si>
  <si>
    <t>&gt; Vælg isolering</t>
  </si>
  <si>
    <t>Stenuld</t>
  </si>
  <si>
    <t>Papiruld</t>
  </si>
  <si>
    <t>Hamp</t>
  </si>
  <si>
    <t>Isoleringstykkelse</t>
  </si>
  <si>
    <t>Isoleringsevne</t>
  </si>
  <si>
    <t>&gt; Tykkelse</t>
  </si>
  <si>
    <t>Klasse 37</t>
  </si>
  <si>
    <t>150 mm</t>
  </si>
  <si>
    <t>100 mm</t>
  </si>
  <si>
    <t>&gt; Vælg afstandsprofil</t>
  </si>
  <si>
    <t>&gt; Vælg skelet</t>
  </si>
  <si>
    <t>Tidshorisont</t>
  </si>
  <si>
    <t>Eksisterende facade og isolering</t>
  </si>
  <si>
    <t>Dette afsnit beskriver metoden for en LCA og en LCC og kan læses som baggrundsviden. Det er ikke nødvendigt at læse metodebeskrivelsen for at kunne anvende værktøjet eller resultaterne.</t>
  </si>
  <si>
    <t>Efterisolering</t>
  </si>
  <si>
    <t>3. Tidsperspektiv og Fjernvarmepris</t>
  </si>
  <si>
    <t>2. Materialevalg til Klimafacade+</t>
  </si>
  <si>
    <r>
      <t>Udfy</t>
    </r>
    <r>
      <rPr>
        <sz val="12"/>
        <rFont val="Calibri"/>
        <family val="2"/>
      </rPr>
      <t>ld inputfelterne</t>
    </r>
    <r>
      <rPr>
        <sz val="12"/>
        <color theme="1"/>
        <rFont val="Calibri"/>
        <family val="2"/>
      </rPr>
      <t xml:space="preserve"> i boks 1-3 nedenfor og se resultaterne i graferne og tabellerne til højre. Du kan løbende ændre dine valg og se, hvordan de påvirker den klimamæssige og økonomiske balance.</t>
    </r>
  </si>
  <si>
    <r>
      <rPr>
        <sz val="12"/>
        <color theme="1"/>
        <rFont val="Calibri"/>
        <family val="2"/>
      </rPr>
      <t xml:space="preserve">🛈 </t>
    </r>
    <r>
      <rPr>
        <b/>
        <sz val="12"/>
        <color theme="1"/>
        <rFont val="Calibri"/>
        <family val="2"/>
      </rPr>
      <t>Nyt</t>
    </r>
  </si>
  <si>
    <r>
      <t>Resultatet vises for kg CO₂-ækv./lodrette m²/år. Se mere hero</t>
    </r>
    <r>
      <rPr>
        <sz val="12"/>
        <rFont val="Calibri"/>
        <family val="2"/>
        <scheme val="minor"/>
      </rPr>
      <t>m i LCA-metodebeskrivelsen</t>
    </r>
    <r>
      <rPr>
        <sz val="12"/>
        <color rgb="FF000000"/>
        <rFont val="Calibri"/>
        <family val="2"/>
        <scheme val="minor"/>
      </rPr>
      <t>.</t>
    </r>
  </si>
  <si>
    <r>
      <t xml:space="preserve">Sammensætning af ydervæg </t>
    </r>
    <r>
      <rPr>
        <sz val="12"/>
        <color theme="1"/>
        <rFont val="Calibri"/>
        <family val="2"/>
      </rPr>
      <t>🛈</t>
    </r>
    <r>
      <rPr>
        <b/>
        <sz val="12"/>
        <color theme="2" tint="-9.9978637043366805E-2"/>
        <rFont val="Calibri"/>
        <family val="2"/>
      </rPr>
      <t>_</t>
    </r>
  </si>
  <si>
    <t>Angiv årstal for klimafacadens etablering, antal år beregningerne skal baseres på, og fjernvarme-prisen i etableringsåret.</t>
  </si>
  <si>
    <t>https://bygningsreglementet.dk/Tekniske-bestemmelser/11/Krav/297_298#d578ff9b-87e2-42aa-8d81-a08f60c9b3d1</t>
  </si>
  <si>
    <t>Den økonomiske beregning følger LCC-beregningen jf. DGNB-manualen for 2025. Se mere i LCC-metodebeskrivelsen.</t>
  </si>
  <si>
    <t>C3/enhed</t>
  </si>
  <si>
    <t>C4/enhed</t>
  </si>
  <si>
    <t>D/enhed</t>
  </si>
  <si>
    <t>A1-A3/m²</t>
  </si>
  <si>
    <t>C3/m²</t>
  </si>
  <si>
    <t>C4/m²</t>
  </si>
  <si>
    <t>D/m²</t>
  </si>
  <si>
    <t>Densitet</t>
  </si>
  <si>
    <t>https://inpro.dk/shop/46-tag-og-facade/141-spansk-rustik-skifer/</t>
  </si>
  <si>
    <t>https://froeslev.dk/media/rond1vte/3935-932-profil.pdf</t>
  </si>
  <si>
    <t>https://vbn.aau.dk/ws/portalfiles/portal/645424598/Udvikling_af_dansk_generisk_LCA-data.pdf</t>
  </si>
  <si>
    <t>https://ibudata.lca-data.com/datasetdetail/process.xhtml?uuid=abe56877-906b-4e81-a0cd-2ab7ce9e6163&amp;version=00.07.000&amp;stock=PUBLIC&amp;lang=en</t>
  </si>
  <si>
    <t>https://hunton.dk/produkter/vegg/hunton-vindtaet/</t>
  </si>
  <si>
    <t>https://www.npi.dk/nordisk-pladeimport/wp-content/uploads/2016/08/Konstruktionskrydsfiner_Montagevejledning_2016.pdf</t>
  </si>
  <si>
    <t>https://betapack.dk/files/byg/Datablade/Maj%202023%20Datablade/alpha%20vindsp%C3%A6rre%20pro%20datablad%20maj%202023.pdf</t>
  </si>
  <si>
    <t>https://www.stark.dk/cembrit-windstopper-basic-fibercementplade-9-mm-600-mm-2400-mm-natur?id=8200-1851195</t>
  </si>
  <si>
    <t>https://www.xl-byg.dk/shop/knauf-vindspaerre-9-x-900-x-2700-mm-5180031#specifications-anchor</t>
  </si>
  <si>
    <t>https://www.wennerthwood.dk/wwt/produkter/pladevarer/cementspanplade#:~:text=Falco%20cementsp%C3%A5nplader%20leveres%20ubehandlet%20og,de%20tekniske%20krav%20i%20byggebranchen.</t>
  </si>
  <si>
    <t>Samme</t>
  </si>
  <si>
    <t>https://www.steico.com/de/loesungen/produktvorteile/stegtraeger</t>
  </si>
  <si>
    <t>https://www.rockwool.com/dk/produkter-og-konstruktioner/produktoversigt/udvendig-facadeisolering/redair-multi-mr-montageskinne/</t>
  </si>
  <si>
    <t xml:space="preserve">https://www.knauf.dk/produkter/lette-byggesystemer/stalprofiler/ydervaegsprofiler/standardprofiler/ry-slidsede-stolper/ </t>
  </si>
  <si>
    <t>https://www.jemogfix.dk/staallaegte-c-profil-45-mm/4132/9032214//?utm_content=nonbrand&amp;gad_source=1&amp;gclid=Cj0KCQjwwMqvBhCtARIsAIXsZpYxd1Qe3KJIwV2Io9Hq8ehkT7DEROlHOlw5Ivdy7vh07f5DCHTHEHwaAgaTEALw_wcB&amp;gclsrc=aw.ds</t>
  </si>
  <si>
    <t>https://www.profilmetal.dk/produkt/hatteprofil-50-25-70-25-50x2500-mm/?attribute_pa_farve=aluzink&amp;attribute_pa_garanti=20-aars-garanti&amp;utm_source=Google+Shopping&amp;utm_medium=cpc&amp;utm_campaign=Google+Shopping&amp;gad_source=1&amp;gclid=Cj0KCQjwncWvBhD_ARIsAEb2HW_-vKxw4FvSRa-vlouc3Bs_mGhQU9RG_UINOzHt9d7tm_hLBo36VvQaAmKvEALw_wcB#description</t>
  </si>
  <si>
    <t>https://karlmolin.com/shop/42-trapez/378-trapez-mvp-20100/
https://www.profilmetal.dk/produkt/plan-plade-200x125-meter/</t>
  </si>
  <si>
    <t>https://komproment.dk/produkt/tempel-earth/dark-grey/
https://komproment.dk/wp-content/uploads/2022/06/komproment_epd_earth.pdf</t>
  </si>
  <si>
    <t>Andet</t>
  </si>
  <si>
    <t>Product: Mineraluld, fleksibel isolering, kl. 37. Priser kunne ikke findes I molios database, så antaget samme pris som stenuld.</t>
  </si>
  <si>
    <t>EPD danmark. Samtale med ekspert, hos træ, skal der anvendes nogen afstandsklodser, for afløb/ventilering. Mål: 3x5 cm alle 60 cm.</t>
  </si>
  <si>
    <t>Produkt: Alpha basis vindspærre . Corotop is a Polish brand that sell product for the danish market. Product under the brand Alpha in Denmark is from Corotop in Poland. Antages 0,5 mm.</t>
  </si>
  <si>
    <t>Product: Gipsplade, vindspærre. 9 mm</t>
  </si>
  <si>
    <t>Product: Fibercementplade. 9 mm</t>
  </si>
  <si>
    <t>Pris/enhed</t>
  </si>
  <si>
    <t>Klassificering</t>
  </si>
  <si>
    <t>A4-gruppe</t>
  </si>
  <si>
    <t>METODEBESKRIVELSE</t>
  </si>
  <si>
    <t>Sådan er priserne estimeret</t>
  </si>
  <si>
    <t>Den benyttede kalkulationsrente</t>
  </si>
  <si>
    <t>Referencer til kombinationsmuligheder</t>
  </si>
  <si>
    <t>Referencer til miljødata</t>
  </si>
  <si>
    <t>A1-A3/standardenhed</t>
  </si>
  <si>
    <r>
      <t>Materiale</t>
    </r>
    <r>
      <rPr>
        <sz val="11"/>
        <color theme="1"/>
        <rFont val="Calibri"/>
        <family val="2"/>
        <scheme val="minor"/>
      </rPr>
      <t xml:space="preserve"> (isoleringstykkelsen i parentes, hvor denne påvirker materialemængden)</t>
    </r>
  </si>
  <si>
    <t>100mm tykkelse: m² with λ = 0.04 W/(m²K)</t>
  </si>
  <si>
    <t>https://www.bolius.dk/hoer-som-isolering-18614</t>
  </si>
  <si>
    <t>https://www.bolius.dk/traefiberisolering-98134</t>
  </si>
  <si>
    <t>Produkt: Ekolution® Hemp Fibre Insulation 100mm. Kunne ikke findes I Molio, men antaget 3 gange dyrere end mineraluld jvf. Bolius-link</t>
  </si>
  <si>
    <t>Product: Fibercementplade. Vægt: 14kg/m²</t>
  </si>
  <si>
    <t>Produkt: Stål, plade. ca. 5,0 til 7,5kg/m² = 6,25kg/m²</t>
  </si>
  <si>
    <t>BUILD rapport data blev fravalgt, da de ikke havde et faktisk facademateriale. 60,02 kg/m²</t>
  </si>
  <si>
    <t>Vægt ca. 30kg/m²</t>
  </si>
  <si>
    <t>Der antages 8 mm tykkelse af puds, og at der bruges 1,4 kg / m² pr. mm tykkelse.</t>
  </si>
  <si>
    <t>EPD danmark. Dimension fra træ stolpe: 5 cm x 200 mm, som står hver 600 mm, dvs. På 1,2 meter står 2 stolper (1 + 2*0,5). Dimensionerne blev vendt med en ekspert I træbyggeri, men kan altid varriere alt efter opbygningen. Generelt, desto mindre konstruktion, desto bedre, da konstruktionens isoleringsevne ikke er særligt godt.</t>
  </si>
  <si>
    <t>Product: Konstruktionsstål, opvejste stålprofiler, stor forarbejdning. Antages igen at ligge med 600mm (dvs. 2 lister på 1,2 meter) afstand. 6,6 kg for  30 x 100 x 3000 mm lægter. Der deles med 3, for at se på kun 1 m². Der tillægges 15% for at medtage eventuelle skruer, da disse mængder er taget ud fra et system, som baserer sig på en del skruer. For isolering 200 mm, og isolering 150 ganges tillægges 20 hhv. 10%, for en lidt større materialeforbrug.</t>
  </si>
  <si>
    <t>Produkt: Stål A - profile 2b. Samtale med en ekspert - ofte opbygget på en anden måde. Profiler, C eller T. Knauf - UZ 95 0,97kg/m. We multiply by 4 because is used 2 "c" profile connected making an "h" profile so we have 1 on the right edge, 2 in the middle and 1 in the left edge. Priser kunne ikke findes i molios database, så antaget samme pris som stål.</t>
  </si>
  <si>
    <t>Produkt: Træfiberisolering, plade. Kunne ikke findes i Molio, men antages at være 20% dyrere end papiruld jvf. Bolius-link</t>
  </si>
  <si>
    <t>Akustikpanel, trælister på filt. 9,5lbm/m² (ca. 4,3kg/m²). For at komme fra kg/m² til m³/m², som vi bruger grundet miljødata, omregnes, vha. densiteten</t>
  </si>
  <si>
    <t>A4/kg</t>
  </si>
  <si>
    <t>A4/m²</t>
  </si>
  <si>
    <r>
      <t>Akkumuleret klimapåvirkning i år 0-80</t>
    </r>
    <r>
      <rPr>
        <b/>
        <sz val="11"/>
        <color theme="0"/>
        <rFont val="Calibri"/>
        <family val="2"/>
        <scheme val="minor"/>
      </rPr>
      <t xml:space="preserve">   </t>
    </r>
    <r>
      <rPr>
        <b/>
        <sz val="11"/>
        <color theme="0"/>
        <rFont val="Aptos Narrow"/>
        <family val="2"/>
      </rPr>
      <t>→ → →</t>
    </r>
  </si>
  <si>
    <t>Nyt</t>
  </si>
  <si>
    <t>Valgt andel af genbrug ift. nyt</t>
  </si>
  <si>
    <t>A1-A3/m²_nyt</t>
  </si>
  <si>
    <t>A4/m²_nyt</t>
  </si>
  <si>
    <t>C3/m²_nyt</t>
  </si>
  <si>
    <t>C4/m²_nyt</t>
  </si>
  <si>
    <t>D/m²_nyt</t>
  </si>
  <si>
    <r>
      <t>Emission [kgCO₂e/m²]</t>
    </r>
    <r>
      <rPr>
        <sz val="11"/>
        <color theme="1"/>
        <rFont val="Calibri"/>
        <family val="2"/>
        <scheme val="minor"/>
      </rPr>
      <t xml:space="preserve"> - hvor faserne er korrigeret for % genbrug, på nær A4, der er uafhægig af genbrug</t>
    </r>
  </si>
  <si>
    <t>Mængde-enhed</t>
  </si>
  <si>
    <t>Mængde/m²</t>
  </si>
  <si>
    <t>Mængde materiale pr. m² façade</t>
  </si>
  <si>
    <t>V-interval</t>
  </si>
  <si>
    <t>V-procent</t>
  </si>
  <si>
    <t>Pris-enhed</t>
  </si>
  <si>
    <r>
      <t xml:space="preserve">Vedligeholdelse
</t>
    </r>
    <r>
      <rPr>
        <sz val="11"/>
        <color theme="1"/>
        <rFont val="Calibri"/>
        <family val="2"/>
        <scheme val="minor"/>
      </rPr>
      <t>[% af nypris] [interval, år]</t>
    </r>
  </si>
  <si>
    <r>
      <t xml:space="preserve">Pris
</t>
    </r>
    <r>
      <rPr>
        <sz val="11"/>
        <color theme="1"/>
        <rFont val="Calibri"/>
        <family val="2"/>
        <scheme val="minor"/>
      </rPr>
      <t>[DKK]</t>
    </r>
  </si>
  <si>
    <t>Noter (vedr. både LCA og LCC)</t>
  </si>
  <si>
    <r>
      <t xml:space="preserve">Emission
</t>
    </r>
    <r>
      <rPr>
        <sz val="11"/>
        <color theme="1"/>
        <rFont val="Calibri"/>
        <family val="2"/>
        <scheme val="minor"/>
      </rPr>
      <t>[kgCO₂e/enhed]</t>
    </r>
  </si>
  <si>
    <r>
      <t xml:space="preserve">Materialets
levetid </t>
    </r>
    <r>
      <rPr>
        <sz val="11"/>
        <color theme="1"/>
        <rFont val="Calibri"/>
        <family val="2"/>
        <scheme val="minor"/>
      </rPr>
      <t>[år]</t>
    </r>
  </si>
  <si>
    <r>
      <t xml:space="preserve">Massefylde
</t>
    </r>
    <r>
      <rPr>
        <sz val="11"/>
        <color theme="1"/>
        <rFont val="Calibri"/>
        <family val="2"/>
        <scheme val="minor"/>
      </rPr>
      <t>[kg/m³]</t>
    </r>
  </si>
  <si>
    <r>
      <t>Emission</t>
    </r>
    <r>
      <rPr>
        <sz val="11"/>
        <color theme="1"/>
        <rFont val="Calibri"/>
        <family val="2"/>
        <scheme val="minor"/>
      </rPr>
      <t>, nyt materiale
[kgCO₂e/m²]</t>
    </r>
  </si>
  <si>
    <t>løbende m</t>
  </si>
  <si>
    <t>LCA står for Life Cycle Assessment (på dansk livscyklusvurdering), og er en metode der bl.a. kan bruges til at vurdere en bygnings klimapåvirkning gennem hele livscyklussen. En livscyklus for bygninger deles op i standardiserede faser og moduler (se figur 1 nedenfor) og beregnes jf. den europæiske standard EN15978:2012, der definerer metoden for LCA i bygninger. 
Læs mere i Bygningsreglementet § 297, for at læse om den danske metode om livscyklusvurderinger for nybyggeri:</t>
  </si>
  <si>
    <t xml:space="preserve">Beregningsværktøjet ser udelukkende på påvirkningen fra Klimafacade+, og afviger fra Bygningsreglementets krav for nybyggeri ift. den enhed resultatet vises i. I Bygningsreglementet måles påvirkningen i kg CO₂-ækvivalenter/m²/år, hvor m² i forholder sig til et referenceareal som baserer sig på etagearealet jf. §297, stk. 3. Da der i beregningsværktøjet ikke ses på nybyggeri, men på en energirenovering (dvs. der ses kun på facaden samt energibesparelsen pr. vertikal m²) er klimapåvirkningen i dette beregningsværktøj målt i kg CO₂-ækvivalenter/vertikal m²/år. Derfor kan resultaterne for Klimafacade+ og nybyggeri ikke sammenlignes. 
Tidshorisonten kan i beregningsværktøjet sættes til 20, 30, 50 eller 80 år og angiver den beregningsmæssige periode, som bygningens livscyklus beregnes over. Den periode svarer ikke nødvendigvis til den konkrete bygnings forventede levetid, men er alene en beregningsforudsætning. </t>
  </si>
  <si>
    <t xml:space="preserve">Omfatter klimapåvirkninger fra alle processer forbundet med produktion af byggematerialerne. Fra udvinding af råstoffer og brug af sekundære materialer (A1), transport til fabrikken (A2) og fremstilling af den færdige byggevare eller det præfabrikerede system (A3). I beregningsværktøjet er der anvendt generisk miljødata fra BUILDs rapport Udvikling af dansk generisk LCA-data 2023:16, samt suppleret med enkelte repræsentative EPD’er (miljøvaredeklarationer iht. EN15804). </t>
  </si>
  <si>
    <r>
      <t xml:space="preserve">Yderligere dokumenterer dette beregningsværktøj også modul </t>
    </r>
    <r>
      <rPr>
        <b/>
        <sz val="12"/>
        <rFont val="Calibri"/>
        <family val="2"/>
        <scheme val="minor"/>
      </rPr>
      <t>A4</t>
    </r>
    <r>
      <rPr>
        <sz val="12"/>
        <rFont val="Calibri"/>
        <family val="2"/>
        <scheme val="minor"/>
      </rPr>
      <t xml:space="preserve">: Transport og </t>
    </r>
    <r>
      <rPr>
        <b/>
        <sz val="12"/>
        <rFont val="Calibri"/>
        <family val="2"/>
        <scheme val="minor"/>
      </rPr>
      <t>A5</t>
    </r>
    <r>
      <rPr>
        <sz val="12"/>
        <rFont val="Calibri"/>
        <family val="2"/>
        <scheme val="minor"/>
      </rPr>
      <t>: Opførelse/montering, da igangværende nationale forhandlinger indikerer, at modul A4 og A5 kan forventes at indgå i Bygningsreglementets krav ved næste revidering (forventeligt 2025). For den nuværende facadeløsning medtages en løbende vedligehold, da det svarer til det mest realistiske scenarie for karrébygninger.</t>
    </r>
  </si>
  <si>
    <t xml:space="preserve">Omfatter klimapåvirkninger for transport til byggepladsen (A4), samt påvirkninger forbundet med opførelse og montering (A5). I beregningsværktøjet er der anvendt generisk miljødata jf. BUILDs rapport 2023:14 (Ressourceforbrug på byggepladsen), som er omregnet til vertikale m². </t>
  </si>
  <si>
    <t xml:space="preserve">Omfatter klimapåvirkninger forbundet med udskiftninger. En udskiftning omfatter affaldsbehandling af en eksisterende byggevare og produktion af den nye byggevare. Udskiftninger forekommer for bygningsdele med en kortere levetid end tidshorisonten som her i beregningsværktøjet kan sættes til 20, 30, 50 eller 80 år (der er perioden, beregningen laves for). Levetider for materialerne er fastlagt jf. BUILDs Levetidstabel 2021.  </t>
  </si>
  <si>
    <t xml:space="preserve">Omfatter klimapåvirkningen forbundet med energi til bygningsdrift, som i beregningsværktøjet er beregned til den vertikale energibesparelse. Emissionsfaktorerne for fjernvarme opgøres pr. kWh for miljøpåvirkningskategorien ’Climate Change – Total (kg CO₂-ækvivalenter)' iht. EN15804 + A2, og tager udgangspunkt i  Artelias rapport Emissionsfaktorer for el, fjernvarme og ledningsgas (2023).  </t>
  </si>
  <si>
    <t>Omfatter klimapåvirkninger fra processer ved slutningen af klimafacadens levetid. Det omfatter affaldsbehandling, dvs. forberedelse til genbrug, genanvendelse, anden nyttiggørelse eller bortskaffelse.</t>
  </si>
  <si>
    <t xml:space="preserve">EN15978  fastlægger at data jf. EN15804 anvendes, som beskriver at biobaserede materialer regnes med en såkaldt -1/+1 regel. 
-1/+1 reglen forholder sig til, at biobaserede materialer har optaget en vis mængde CO₂ under deres vækst, der regnes som negativt i modulerne A1-A3, dette skal dog over levetiden af produktet frigives igen, dvs. senest i endt levetid C3/C4, hvor det optagede CO₂ frigives. </t>
  </si>
  <si>
    <t>Ydervæg</t>
  </si>
  <si>
    <t>Den europæiske standard EN15978 definerer metoden for LCA for bygninger. Bygningsreglementets krav (§297) til en LCA for bygninger dækker de moduler, der er markeret med grønt på figur 1 nedenfor, og som har været udgangspunkt for beregningsforudsætningen for Klimafacade+:</t>
  </si>
  <si>
    <t>Årstal</t>
  </si>
  <si>
    <r>
      <rPr>
        <b/>
        <sz val="11"/>
        <color theme="1"/>
        <rFont val="Calibri"/>
        <family val="2"/>
        <scheme val="minor"/>
      </rPr>
      <t>Emission</t>
    </r>
    <r>
      <rPr>
        <sz val="11"/>
        <color theme="1"/>
        <rFont val="Calibri"/>
        <family val="2"/>
        <scheme val="minor"/>
      </rPr>
      <t xml:space="preserve"> [kg CO₂e/kWh]</t>
    </r>
  </si>
  <si>
    <t>Tidsperspektiv</t>
  </si>
  <si>
    <t>Tidshorisont 🛈</t>
  </si>
  <si>
    <t>🛈 For enden af den valgte tidshorisont antages det, at klimafacaden har endt sin levetid, hvorved der opstår klimapåvirkninger forbundet med affaldshåndteringen. Bemærk dog, at de fastsatte spænd på 20/30/50/80 år ikke nødvendigvis svarer til den konkrete klimafacades reelle levetid. Vælges en længere tidshorisont, følger flere udskiftninger, grundet delkomponenternes levetider. I LCC-beregningen bliver materialernes restlevetider tilgodeskrevet.</t>
  </si>
  <si>
    <r>
      <t>Akkumuleret energibesparelse i år 0-80</t>
    </r>
    <r>
      <rPr>
        <b/>
        <sz val="11"/>
        <color theme="0"/>
        <rFont val="Calibri"/>
        <family val="2"/>
        <scheme val="minor"/>
      </rPr>
      <t xml:space="preserve">   </t>
    </r>
    <r>
      <rPr>
        <b/>
        <sz val="11"/>
        <color theme="0"/>
        <rFont val="Aptos Narrow"/>
        <family val="2"/>
      </rPr>
      <t>→ → →</t>
    </r>
  </si>
  <si>
    <t>Eksisterende ydervæg</t>
  </si>
  <si>
    <r>
      <rPr>
        <b/>
        <sz val="11"/>
        <color theme="1"/>
        <rFont val="Calibri"/>
        <family val="2"/>
        <scheme val="minor"/>
      </rPr>
      <t>Efterisolering</t>
    </r>
    <r>
      <rPr>
        <sz val="11"/>
        <color theme="1"/>
        <rFont val="Calibri"/>
        <family val="2"/>
        <scheme val="minor"/>
      </rPr>
      <t xml:space="preserve">
[mm]</t>
    </r>
  </si>
  <si>
    <r>
      <rPr>
        <b/>
        <sz val="11"/>
        <color theme="1"/>
        <rFont val="Calibri"/>
        <family val="2"/>
        <scheme val="minor"/>
      </rPr>
      <t>U-værdi</t>
    </r>
    <r>
      <rPr>
        <sz val="11"/>
        <color theme="1"/>
        <rFont val="Calibri"/>
        <family val="2"/>
        <scheme val="minor"/>
      </rPr>
      <t xml:space="preserve">
[W/m² </t>
    </r>
    <r>
      <rPr>
        <sz val="11"/>
        <color theme="1"/>
        <rFont val="Calibri"/>
        <family val="2"/>
      </rPr>
      <t xml:space="preserve">∙ </t>
    </r>
    <r>
      <rPr>
        <sz val="11"/>
        <color theme="1"/>
        <rFont val="Calibri"/>
        <family val="2"/>
        <scheme val="minor"/>
      </rPr>
      <t>K]</t>
    </r>
  </si>
  <si>
    <r>
      <t xml:space="preserve">Energibesparelse pr. facadeareal
</t>
    </r>
    <r>
      <rPr>
        <sz val="11"/>
        <color theme="1"/>
        <rFont val="Calibri"/>
        <family val="2"/>
        <scheme val="minor"/>
      </rPr>
      <t>[kWh/areal/år]</t>
    </r>
  </si>
  <si>
    <r>
      <rPr>
        <b/>
        <sz val="11"/>
        <color theme="1"/>
        <rFont val="Calibri"/>
        <family val="2"/>
        <scheme val="minor"/>
      </rPr>
      <t>Nuværende isolering</t>
    </r>
    <r>
      <rPr>
        <sz val="11"/>
        <color theme="1"/>
        <rFont val="Calibri"/>
        <family val="2"/>
        <scheme val="minor"/>
      </rPr>
      <t xml:space="preserve">
[mm]</t>
    </r>
  </si>
  <si>
    <t>Nuværende isolering</t>
  </si>
  <si>
    <r>
      <rPr>
        <b/>
        <sz val="11"/>
        <color theme="1"/>
        <rFont val="Calibri"/>
        <family val="2"/>
        <scheme val="minor"/>
      </rPr>
      <t>Samlet isolering</t>
    </r>
    <r>
      <rPr>
        <sz val="11"/>
        <color theme="1"/>
        <rFont val="Calibri"/>
        <family val="2"/>
        <scheme val="minor"/>
      </rPr>
      <t xml:space="preserve">
[mm]</t>
    </r>
  </si>
  <si>
    <t>Samlet isolering</t>
  </si>
  <si>
    <t>U_Samlet</t>
  </si>
  <si>
    <t>U_Eksisterende</t>
  </si>
  <si>
    <r>
      <rPr>
        <b/>
        <sz val="11"/>
        <color theme="1"/>
        <rFont val="Calibri"/>
        <family val="2"/>
        <scheme val="minor"/>
      </rPr>
      <t xml:space="preserve">Ydervæg-valgmuligheder
</t>
    </r>
    <r>
      <rPr>
        <sz val="11"/>
        <color theme="1"/>
        <rFont val="Calibri"/>
        <family val="2"/>
        <scheme val="minor"/>
      </rPr>
      <t>Mursten [cm, sten] + Isolering [mm]</t>
    </r>
  </si>
  <si>
    <t>Mur</t>
  </si>
  <si>
    <r>
      <rPr>
        <b/>
        <sz val="11"/>
        <color theme="1"/>
        <rFont val="Calibri"/>
        <family val="2"/>
        <scheme val="minor"/>
      </rPr>
      <t>Mur</t>
    </r>
    <r>
      <rPr>
        <sz val="11"/>
        <color theme="1"/>
        <rFont val="Calibri"/>
        <family val="2"/>
        <scheme val="minor"/>
      </rPr>
      <t xml:space="preserve">
[cm]</t>
    </r>
  </si>
  <si>
    <t>Besparelse_1000_m²</t>
  </si>
  <si>
    <t>Besparelse_m²</t>
  </si>
  <si>
    <t>Vedligehold_EksisterendeFacade</t>
  </si>
  <si>
    <t>Materialer_Total</t>
  </si>
  <si>
    <t>Emission_Brutto</t>
  </si>
  <si>
    <t>Emission_Netto</t>
  </si>
  <si>
    <r>
      <rPr>
        <b/>
        <sz val="11"/>
        <color theme="1"/>
        <rFont val="Calibri"/>
        <family val="2"/>
        <scheme val="minor"/>
      </rPr>
      <t>Total-Emission</t>
    </r>
    <r>
      <rPr>
        <sz val="11"/>
        <color theme="1"/>
        <rFont val="Calibri"/>
        <family val="2"/>
        <scheme val="minor"/>
      </rPr>
      <t>: A1-5 + C3-4 (+ B6)
[kgCO₂e/m²]</t>
    </r>
  </si>
  <si>
    <t>Vedligehold_Eksisterende</t>
  </si>
  <si>
    <t>Nettoemission_Klimafacade</t>
  </si>
  <si>
    <t>Blank-tegn</t>
  </si>
  <si>
    <t>LCA-fase</t>
  </si>
  <si>
    <r>
      <t xml:space="preserve">Vedligeholdelsesmaterialer til eksisterende facade
</t>
    </r>
    <r>
      <rPr>
        <sz val="11"/>
        <color theme="1"/>
        <rFont val="Calibri"/>
        <family val="2"/>
        <scheme val="minor"/>
      </rPr>
      <t>Emission [kgCO₂e/m²]</t>
    </r>
  </si>
  <si>
    <t>Klimapåvirkning</t>
  </si>
  <si>
    <t>X</t>
  </si>
  <si>
    <t>Y</t>
  </si>
  <si>
    <t>Udfyldt</t>
  </si>
  <si>
    <t>Valg</t>
  </si>
  <si>
    <t>Felt</t>
  </si>
  <si>
    <t>Efterisoleringstykkelse</t>
  </si>
  <si>
    <t>Færdighedsgrad</t>
  </si>
  <si>
    <t>Fremskridtsvisning</t>
  </si>
  <si>
    <t>[%]</t>
  </si>
  <si>
    <t>[udfyldt/total]</t>
  </si>
  <si>
    <r>
      <t xml:space="preserve">RESULTATER: </t>
    </r>
    <r>
      <rPr>
        <sz val="16"/>
        <color theme="0"/>
        <rFont val="Calibri"/>
        <family val="2"/>
      </rPr>
      <t>GRAFER</t>
    </r>
  </si>
  <si>
    <t>GWP</t>
  </si>
  <si>
    <r>
      <rPr>
        <b/>
        <sz val="11"/>
        <color theme="1"/>
        <rFont val="Calibri"/>
        <family val="2"/>
        <scheme val="minor"/>
      </rPr>
      <t xml:space="preserve">GWP
</t>
    </r>
    <r>
      <rPr>
        <sz val="11"/>
        <color theme="1"/>
        <rFont val="Calibri"/>
        <family val="2"/>
        <scheme val="minor"/>
      </rPr>
      <t>[kgCO₂e/kg]</t>
    </r>
  </si>
  <si>
    <t>Periode</t>
  </si>
  <si>
    <t>Rente</t>
  </si>
  <si>
    <t>År 1-35</t>
  </si>
  <si>
    <t>År 36-70</t>
  </si>
  <si>
    <t>År 71-80</t>
  </si>
  <si>
    <t>Trin</t>
  </si>
  <si>
    <t>Startår</t>
  </si>
  <si>
    <t>År 0</t>
  </si>
  <si>
    <t>Tærskelår</t>
  </si>
  <si>
    <t>Prisudvikling</t>
  </si>
  <si>
    <t>Prisdata - Periode</t>
  </si>
  <si>
    <t>Klimafacade-total</t>
  </si>
  <si>
    <t>FB_Vedligehold</t>
  </si>
  <si>
    <t>FB_Anskaffelse</t>
  </si>
  <si>
    <t>FB_Afskrivning</t>
  </si>
  <si>
    <t>FB_Restværdi</t>
  </si>
  <si>
    <t>FB_Ved?</t>
  </si>
  <si>
    <t>FB_Uds?</t>
  </si>
  <si>
    <t>FB_Restværdi_Udskiftning</t>
  </si>
  <si>
    <t>Omregning</t>
  </si>
  <si>
    <t>Genoprettelse</t>
  </si>
  <si>
    <t>Udgift</t>
  </si>
  <si>
    <t>Procent af total</t>
  </si>
  <si>
    <t>Kategori</t>
  </si>
  <si>
    <t>(FB)</t>
  </si>
  <si>
    <t>[år, årstal]</t>
  </si>
  <si>
    <r>
      <t>Komponentmaterialer</t>
    </r>
    <r>
      <rPr>
        <sz val="11"/>
        <color theme="1"/>
        <rFont val="Calibri"/>
        <family val="2"/>
        <scheme val="minor"/>
      </rPr>
      <t>: A1-4, C3-4</t>
    </r>
  </si>
  <si>
    <t>Emission [kgCO₂e/m²]</t>
  </si>
  <si>
    <t>(A5)</t>
  </si>
  <si>
    <t>(B6)</t>
  </si>
  <si>
    <t>NPV_Eksisterende</t>
  </si>
  <si>
    <t>NPV_Klimafacade</t>
  </si>
  <si>
    <t>Årsomk_Eksisterende</t>
  </si>
  <si>
    <t>Årsomk_Klimafacade</t>
  </si>
  <si>
    <t>Start</t>
  </si>
  <si>
    <t>(EF)</t>
  </si>
  <si>
    <t>EF_Vedligehold</t>
  </si>
  <si>
    <t>EF_Ved?</t>
  </si>
  <si>
    <t>EF_Uds?</t>
  </si>
  <si>
    <t>(KF)</t>
  </si>
  <si>
    <t>Klimafacade, Total</t>
  </si>
  <si>
    <t>KF_Anskaffelse</t>
  </si>
  <si>
    <t>KF_Anskaffelse_Aggregeret</t>
  </si>
  <si>
    <t>KF_Vedligehold</t>
  </si>
  <si>
    <t>KF_Vedligehold_Aggregeret</t>
  </si>
  <si>
    <t>KF_Restværdi</t>
  </si>
  <si>
    <t>KF_Udskiftning_Aggregeret</t>
  </si>
  <si>
    <t>KF_Engangsudgifter</t>
  </si>
  <si>
    <t>KF_Engangsudgifter_Aggregeret</t>
  </si>
  <si>
    <t>EF_Vedligehold_Aggregeret</t>
  </si>
  <si>
    <t>Opsummeret nutidsværdi</t>
  </si>
  <si>
    <t>KF_Energiforbrug</t>
  </si>
  <si>
    <t>KF_Forsyning</t>
  </si>
  <si>
    <t>KF_Forsyning_Aggregeret</t>
  </si>
  <si>
    <t>kWh/m²/år</t>
  </si>
  <si>
    <t>NPV_KF_Opsummeret</t>
  </si>
  <si>
    <t>Nutidsværdi_Klimafacade</t>
  </si>
  <si>
    <t>Nutidsværdi_Eksisterende</t>
  </si>
  <si>
    <t>Nutidsværdi [kr/m²]</t>
  </si>
  <si>
    <t>Klimarentabilitet</t>
  </si>
  <si>
    <t>Økonomisk rentabilitet</t>
  </si>
  <si>
    <t>(VS)</t>
  </si>
  <si>
    <t>(EI)</t>
  </si>
  <si>
    <t>(SK)</t>
  </si>
  <si>
    <t>(AP)</t>
  </si>
  <si>
    <t>VS_Anskaffelse</t>
  </si>
  <si>
    <t>VS_Afskrivning</t>
  </si>
  <si>
    <t>VS_Ved?</t>
  </si>
  <si>
    <t>VS_Uds?</t>
  </si>
  <si>
    <t>VS_Vedligehold</t>
  </si>
  <si>
    <t>VS_Restværdi</t>
  </si>
  <si>
    <t>VS_Restværdi_Udskiftning</t>
  </si>
  <si>
    <t>EI_Anskaffelse</t>
  </si>
  <si>
    <t>EI_Afskrivning</t>
  </si>
  <si>
    <t>EI_Ved?</t>
  </si>
  <si>
    <t>EI_Uds?</t>
  </si>
  <si>
    <t>EI_Vedligehold</t>
  </si>
  <si>
    <t>EI_Restværdi</t>
  </si>
  <si>
    <t>EI_Restværdi_Udskiftning</t>
  </si>
  <si>
    <t>AP_Anskaffelse</t>
  </si>
  <si>
    <t>AP_Afskrivning</t>
  </si>
  <si>
    <t>AP_Ved?</t>
  </si>
  <si>
    <t>AP_Uds?</t>
  </si>
  <si>
    <t>AP_Vedligehold</t>
  </si>
  <si>
    <t>AP_Restværdi</t>
  </si>
  <si>
    <t>AP_Restværdi_Udskiftning</t>
  </si>
  <si>
    <t>SK_Anskaffelse</t>
  </si>
  <si>
    <t>SK_Afskrivning</t>
  </si>
  <si>
    <t>SK_Ved?</t>
  </si>
  <si>
    <t>SK_Uds?</t>
  </si>
  <si>
    <t>SK_Vedligehold</t>
  </si>
  <si>
    <t>SK_Restværdi</t>
  </si>
  <si>
    <t>SK_Restværdi_Udskiftning</t>
  </si>
  <si>
    <t>LCA-Skæring</t>
  </si>
  <si>
    <t>LCA-Rentabel_X</t>
  </si>
  <si>
    <t>LCA-Rentabel_Y</t>
  </si>
  <si>
    <t>LCA-Urentabel_X</t>
  </si>
  <si>
    <t>LCA-Urentabel_Y</t>
  </si>
  <si>
    <t>LCC-Skæring</t>
  </si>
  <si>
    <t>LCC-Rentabel_X</t>
  </si>
  <si>
    <t>LCC-Rentabel_Y</t>
  </si>
  <si>
    <t>LCC-Urentabel_X</t>
  </si>
  <si>
    <t>LCC-Urentabel_Y</t>
  </si>
  <si>
    <t>LCA-Difference</t>
  </si>
  <si>
    <t>LCC-Difference</t>
  </si>
  <si>
    <t>LCA: Klimaskæringspunkt(er)</t>
  </si>
  <si>
    <t>LCC: Økonomiske skæringspunkt(er)</t>
  </si>
  <si>
    <t>Rentabel eller urentabel retning [-1 eller 1] og Koordinater [X,Y]</t>
  </si>
  <si>
    <t>KF_Udskiftning_Komponent</t>
  </si>
  <si>
    <t>FB_Udskiftning_Komponent</t>
  </si>
  <si>
    <t>VS_Udskiftning_Komponent</t>
  </si>
  <si>
    <t>EI_Udskiftning_Komponent</t>
  </si>
  <si>
    <t>AP_Udskiftning_Komponent</t>
  </si>
  <si>
    <t>SK_Udskiftning_Komponent</t>
  </si>
  <si>
    <r>
      <t xml:space="preserve">Klimafacade </t>
    </r>
    <r>
      <rPr>
        <b/>
        <sz val="11"/>
        <color theme="1"/>
        <rFont val="Calibri"/>
        <family val="2"/>
      </rPr>
      <t>÷</t>
    </r>
    <r>
      <rPr>
        <b/>
        <sz val="11"/>
        <color theme="1"/>
        <rFont val="Calibri"/>
        <family val="2"/>
        <scheme val="minor"/>
      </rPr>
      <t xml:space="preserve"> Eksisterende
</t>
    </r>
    <r>
      <rPr>
        <sz val="11"/>
        <color theme="1"/>
        <rFont val="Calibri"/>
        <family val="2"/>
        <scheme val="minor"/>
      </rPr>
      <t>[kgCO₂e/m²]</t>
    </r>
  </si>
  <si>
    <r>
      <t xml:space="preserve">Klimafacade </t>
    </r>
    <r>
      <rPr>
        <b/>
        <sz val="11"/>
        <color theme="1"/>
        <rFont val="Calibri"/>
        <family val="2"/>
      </rPr>
      <t>÷</t>
    </r>
    <r>
      <rPr>
        <b/>
        <sz val="11"/>
        <color theme="1"/>
        <rFont val="Calibri"/>
        <family val="2"/>
        <scheme val="minor"/>
      </rPr>
      <t xml:space="preserve"> Eksisterende
</t>
    </r>
    <r>
      <rPr>
        <sz val="11"/>
        <color theme="1"/>
        <rFont val="Calibri"/>
        <family val="2"/>
        <scheme val="minor"/>
      </rPr>
      <t>[kr/m²]</t>
    </r>
  </si>
  <si>
    <t>[kr/m²]</t>
  </si>
  <si>
    <t>(uden restværdi) [kr/m²]</t>
  </si>
  <si>
    <t xml:space="preserve">Life Cycle Cost (LCC) er en totaløkonomisk beregning, der giver mulighed for at estimere de samlede omkostninger til et byggeri inklusiv drift, vedligehold, udskiftninger og eventuel nedrivning over hele dets levetid. 
LCC-beregningen udføres iht. ISO 15686-5:2017 og praksis i den danske byggebranche, og følger beregningsmetodikken i beregningsprogrammet LCC-byg, der kan benyttes til LCC-beregninger i den frivillige bæredygtighedsklasse, samt DGNB-certificeringsordningen.  
LCC-beregningen giver mulighed for at vurdere de totaløkonomiske omkostninger/gevinster over en valgt betragtningsperiode, hvor der medtages udgifter til materialer, løn til håndværkerarbejde, byggeplads (f.eks. leje af byggepladshegn, toiletvogn), vedligehold, løbende udskiftninger osv. Derudover kan der tages højde for kalkulationsrenten, byggeomkostningsindeks samt udvikling i energipriserne i betragtningsperioden.  
LCC-beregningen tilbagediskonterer alle fremtidige udgifter til en nutidsværdi, så scenariet for etablering af Klimafacade+ løsningen kan sammenlignes mere retvisende med bibeholdelse af den eksisterede facade. </t>
  </si>
  <si>
    <t xml:space="preserve">Materielleje inkl. rabat og avance
</t>
  </si>
  <si>
    <t>Byggeplads- og arkitekt/rådgivningsomkostninger er inkluderet med en faktor af de samlede materialeomkostninger på hhv. 10 % og 20 %.
Prisdata er baseret på landsgennemsnitlige priser. Der kan være store lokale forskelle på prisniveauet, og der er valgt gennemsnitspriser for Danmark.
Alle priser er eksklusive moms.</t>
  </si>
  <si>
    <r>
      <t xml:space="preserve">LCA-skæringspunkt(er) </t>
    </r>
    <r>
      <rPr>
        <sz val="11"/>
        <color theme="1"/>
        <rFont val="Calibri"/>
        <family val="2"/>
        <scheme val="minor"/>
      </rPr>
      <t>[X,Y]</t>
    </r>
  </si>
  <si>
    <t>LCC-skæringspunkt(er) [X,Y]</t>
  </si>
  <si>
    <t>LCC Rentabel</t>
  </si>
  <si>
    <t>LCC Urentabel</t>
  </si>
  <si>
    <t>LCA Urentabel</t>
  </si>
  <si>
    <t>LCA Rentabel</t>
  </si>
  <si>
    <t>24 cm tegl inkl. 50 mm isolering + 150 mm efterisolering</t>
  </si>
  <si>
    <t>24 cm tegl inkl. 100 mm isolering + 100 mm efterisolering</t>
  </si>
  <si>
    <t>24 cm tegl inkl. 100 mm isolering + 200 mm efterisolering</t>
  </si>
  <si>
    <t>36 cm tegl inkl. 50 mm isolering + 150 mm efterisolering</t>
  </si>
  <si>
    <t>36 cm tegl inkl. 100 mm isolering + 100 mm efterisolering</t>
  </si>
  <si>
    <t>36 cm tegl inkl. 100 mm isolering + 200 mm efterisolering</t>
  </si>
  <si>
    <t>48 cm tegl inkl. 50 mm isolering + 150 mm efterisolering</t>
  </si>
  <si>
    <t>48 cm tegl inkl. 100 mm isolering + 100 mm efterisolering</t>
  </si>
  <si>
    <t>48 cm tegl inkl. 100 mm isolering + 200 mm efterisolering</t>
  </si>
  <si>
    <t>60 cm tegl inkl. 50 mm isolering + 150 mm efterisolering</t>
  </si>
  <si>
    <t>60 cm tegl inkl. 100 mm isolering + 100 mm efterisolering</t>
  </si>
  <si>
    <t>60 cm tegl inkl. 100 mm isolering + 200 mm efterisolering</t>
  </si>
  <si>
    <t>24 cm tegl, uisoleret + 200 mm efterisolering</t>
  </si>
  <si>
    <t>36 cm tegl, uisoleret + 200 mm efterisolering</t>
  </si>
  <si>
    <t>48 cm tegl, uisoleret + 200 mm efterisolering</t>
  </si>
  <si>
    <t>60 cm tegl, uisoleret + 200 mm efterisolering</t>
  </si>
  <si>
    <t>&gt; Vælg eksisterende ydervæg inkl. isolering + efterisolering</t>
  </si>
  <si>
    <t>🛈 Typiske danske karrebygninger har en ydervæg bestående af 36 cm tegl (svarende til 1½ mursten) og 0-50 mm isolering.</t>
  </si>
  <si>
    <t>Angiv tykkelsen af ydervæggen hvorpå Klimafacade+ skal monteres inkl. tykkelsen af den nuværende isolering + tykkelsen af den planlagte efterisolering i klimafacaden.</t>
  </si>
  <si>
    <t>1.  Nuværende ydervæg + efterisolering</t>
  </si>
  <si>
    <r>
      <t xml:space="preserve">Vedligehold </t>
    </r>
    <r>
      <rPr>
        <sz val="11"/>
        <color theme="1"/>
        <rFont val="Calibri"/>
        <family val="2"/>
        <scheme val="minor"/>
      </rPr>
      <t>(A1-3 + C3-4)</t>
    </r>
    <r>
      <rPr>
        <b/>
        <sz val="11"/>
        <color theme="1"/>
        <rFont val="Calibri"/>
        <family val="2"/>
        <scheme val="minor"/>
      </rPr>
      <t xml:space="preserve">
</t>
    </r>
    <r>
      <rPr>
        <sz val="11"/>
        <color theme="1"/>
        <rFont val="Calibri"/>
        <family val="2"/>
        <scheme val="minor"/>
      </rPr>
      <t>Facadefarve, Grunder og mellemmaling, Puds</t>
    </r>
  </si>
  <si>
    <r>
      <t xml:space="preserve">[%] </t>
    </r>
    <r>
      <rPr>
        <sz val="11"/>
        <color theme="0" tint="-0.249977111117893"/>
        <rFont val="Calibri"/>
        <family val="2"/>
        <scheme val="minor"/>
      </rPr>
      <t>(negativ ved 100% aht. visning)</t>
    </r>
  </si>
  <si>
    <t xml:space="preserve">Produkt: Stål A - profile 2b. Vejer 0,768 pr. liste, herfra ligger der 3 per meter. </t>
  </si>
  <si>
    <t>Product: Konstruktionsstål, opvejste stålprofiler, stor forarbejdning. Tykkelse: 0,5mm. Bredde: 45 mm, tre sider.  Længde: 1 m.  Ståls densitet til 7850 kg/m³. Det antages, at de ligger pr. 300 mm. Vægt er 1 kg pr. meter.</t>
  </si>
  <si>
    <t>kr/m²</t>
  </si>
  <si>
    <t>Klimafacade+</t>
  </si>
  <si>
    <t>Nuv. facade</t>
  </si>
  <si>
    <t>Udgift (-) / Besparelse (+)</t>
  </si>
  <si>
    <t>Emission (+) / Besparelse (-)</t>
  </si>
  <si>
    <t>kg CO₂e/m²</t>
  </si>
  <si>
    <t>Materialer</t>
  </si>
  <si>
    <t>Nutidsværdi, difference</t>
  </si>
  <si>
    <t>Nettoemission</t>
  </si>
  <si>
    <t>Nettoemission, difference</t>
  </si>
  <si>
    <t>Klimamæssigt rentabel (ifølge LCA) efter</t>
  </si>
  <si>
    <t>Økonomisk rentabel (ifølge LCC) efter</t>
  </si>
  <si>
    <t>Simpel tilbagebetalingstid 🛈</t>
  </si>
  <si>
    <r>
      <t>RESULTATER:</t>
    </r>
    <r>
      <rPr>
        <b/>
        <sz val="15"/>
        <color theme="0"/>
        <rFont val="Calibri"/>
        <family val="2"/>
      </rPr>
      <t xml:space="preserve"> </t>
    </r>
    <r>
      <rPr>
        <sz val="15"/>
        <color theme="0"/>
        <rFont val="Calibri"/>
        <family val="2"/>
      </rPr>
      <t>VÆRDIER</t>
    </r>
  </si>
  <si>
    <t>🛈 Den simple tilbagebetalingstid beregnes ved at dividere anskaffelsesprisen med de årlige energibesparelser (taget udgangspunkt i priserne i år 1) uden at forholde sig til prisudviklingen, kalkulationsrenter mm., som der gøres i LCC-metoden.</t>
  </si>
  <si>
    <t>Illustration af Klimafacade+ på ydervæg</t>
  </si>
  <si>
    <t>Vælg de materialer, du forventer at bygningens Klimafacade+ skal bestå af. Tykkelsen af efterisoleringslaget vælges via kombinationerne i boks 1 oven for. Se illustration af de forskellige komponenter figuren i bunden.</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</si>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</sst>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0.00\ &quot;kr.&quot;;\-#,##0.00\ &quot;kr.&quot;"/>
    <numFmt numFmtId="44" formatCode="_-* #,##0.00\ &quot;kr.&quot;_-;\-* #,##0.00\ &quot;kr.&quot;_-;_-* &quot;-&quot;??\ &quot;kr.&quot;_-;_-@_-"/>
    <numFmt numFmtId="164" formatCode="#,##0.0"/>
    <numFmt numFmtId="165" formatCode="#\ &quot;år&quot;"/>
    <numFmt numFmtId="166" formatCode="#\ &quot;mm&quot;"/>
    <numFmt numFmtId="167" formatCode="#,##0\ &quot;kr.&quot;"/>
    <numFmt numFmtId="168" formatCode="0.0%"/>
    <numFmt numFmtId="169" formatCode="#,##0.00\ &quot;kr.&quot;"/>
    <numFmt numFmtId="170" formatCode="0.000"/>
    <numFmt numFmtId="171" formatCode="0.0000"/>
    <numFmt numFmtId="172" formatCode="0.00000"/>
    <numFmt numFmtId="173" formatCode="_-* #,##0\ &quot;kr.&quot;_-;\-* #,##0\ &quot;kr.&quot;_-;_-* &quot;-&quot;??\ &quot;kr.&quot;_-;_-@_-"/>
    <numFmt numFmtId="174" formatCode="#,##0.000"/>
    <numFmt numFmtId="175" formatCode="#,##0.00_ ;\-#,##0.00\ "/>
    <numFmt numFmtId="176" formatCode="#,##0.00\ \k\W\h"/>
    <numFmt numFmtId="177" formatCode="#,##0_ ;\-#,##0\ "/>
  </numFmts>
  <fonts count="79">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2"/>
      <color theme="0"/>
      <name val="Calibri"/>
      <family val="2"/>
      <scheme val="minor"/>
    </font>
    <font>
      <sz val="11"/>
      <name val="Calibri"/>
      <family val="2"/>
      <scheme val="minor"/>
    </font>
    <font>
      <sz val="20"/>
      <color theme="1"/>
      <name val="Calibri"/>
      <family val="2"/>
      <scheme val="minor"/>
    </font>
    <font>
      <b/>
      <sz val="26"/>
      <color theme="1"/>
      <name val="Calibri"/>
      <family val="2"/>
      <scheme val="minor"/>
    </font>
    <font>
      <b/>
      <sz val="9"/>
      <color theme="1"/>
      <name val="Arial"/>
      <family val="2"/>
    </font>
    <font>
      <sz val="11"/>
      <color rgb="FF00882F"/>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8"/>
      <name val="Calibri"/>
      <family val="2"/>
      <scheme val="minor"/>
    </font>
    <font>
      <u/>
      <sz val="11"/>
      <color theme="10"/>
      <name val="Calibri"/>
      <family val="2"/>
      <scheme val="minor"/>
    </font>
    <font>
      <sz val="11"/>
      <color theme="1"/>
      <name val="Arial"/>
      <family val="2"/>
    </font>
    <font>
      <sz val="11"/>
      <color rgb="FF00B050"/>
      <name val="Calibri"/>
      <family val="2"/>
      <scheme val="minor"/>
    </font>
    <font>
      <i/>
      <sz val="11"/>
      <color rgb="FFFF0000"/>
      <name val="Calibri"/>
      <family val="2"/>
      <scheme val="minor"/>
    </font>
    <font>
      <sz val="14"/>
      <color theme="1"/>
      <name val="Calibri"/>
      <family val="2"/>
      <scheme val="minor"/>
    </font>
    <font>
      <b/>
      <sz val="11"/>
      <name val="Calibri"/>
      <family val="2"/>
      <scheme val="minor"/>
    </font>
    <font>
      <b/>
      <sz val="12"/>
      <name val="Calibri"/>
      <family val="2"/>
      <scheme val="minor"/>
    </font>
    <font>
      <sz val="10"/>
      <name val="Calibri"/>
      <family val="2"/>
      <scheme val="minor"/>
    </font>
    <font>
      <sz val="10"/>
      <color theme="1"/>
      <name val="Calibri"/>
      <family val="2"/>
      <scheme val="minor"/>
    </font>
    <font>
      <b/>
      <sz val="11"/>
      <color theme="5"/>
      <name val="Calibri"/>
      <family val="2"/>
      <scheme val="minor"/>
    </font>
    <font>
      <b/>
      <i/>
      <sz val="11"/>
      <color theme="1"/>
      <name val="Calibri"/>
      <family val="2"/>
      <scheme val="minor"/>
    </font>
    <font>
      <sz val="12"/>
      <color theme="1"/>
      <name val="KBH"/>
    </font>
    <font>
      <b/>
      <sz val="12"/>
      <color theme="0"/>
      <name val="KBH"/>
    </font>
    <font>
      <sz val="11"/>
      <color theme="1"/>
      <name val="KBH"/>
    </font>
    <font>
      <sz val="11"/>
      <color theme="1"/>
      <name val="Calibri"/>
      <family val="2"/>
    </font>
    <font>
      <sz val="10"/>
      <color theme="1"/>
      <name val="Calibri"/>
      <family val="2"/>
    </font>
    <font>
      <b/>
      <sz val="15"/>
      <color theme="0"/>
      <name val="Calibri"/>
      <family val="2"/>
    </font>
    <font>
      <sz val="18"/>
      <color theme="1"/>
      <name val="Calibri"/>
      <family val="2"/>
    </font>
    <font>
      <i/>
      <sz val="11"/>
      <color theme="1"/>
      <name val="Calibri"/>
      <family val="2"/>
    </font>
    <font>
      <sz val="12"/>
      <color theme="1"/>
      <name val="Calibri"/>
      <family val="2"/>
    </font>
    <font>
      <b/>
      <sz val="12"/>
      <color theme="2" tint="-9.9978637043366805E-2"/>
      <name val="Calibri"/>
      <family val="2"/>
    </font>
    <font>
      <b/>
      <sz val="12"/>
      <color theme="1"/>
      <name val="Calibri"/>
      <family val="2"/>
    </font>
    <font>
      <b/>
      <sz val="12"/>
      <color rgb="FF0A2DF2"/>
      <name val="Calibri"/>
      <family val="2"/>
    </font>
    <font>
      <b/>
      <sz val="14"/>
      <name val="Calibri"/>
      <family val="2"/>
    </font>
    <font>
      <sz val="12"/>
      <name val="Calibri"/>
      <family val="2"/>
    </font>
    <font>
      <sz val="12"/>
      <name val="Calibri"/>
      <family val="2"/>
      <scheme val="minor"/>
    </font>
    <font>
      <sz val="12"/>
      <color theme="1"/>
      <name val="Calibri"/>
      <family val="2"/>
      <scheme val="minor"/>
    </font>
    <font>
      <sz val="11"/>
      <color rgb="FF000000"/>
      <name val="Calibri"/>
      <family val="2"/>
      <scheme val="minor"/>
    </font>
    <font>
      <b/>
      <sz val="14"/>
      <color rgb="FFFFFFFF"/>
      <name val="Calibri"/>
      <family val="2"/>
      <scheme val="minor"/>
    </font>
    <font>
      <b/>
      <sz val="12"/>
      <color rgb="FFFFFFFF"/>
      <name val="Calibri"/>
      <family val="2"/>
      <scheme val="minor"/>
    </font>
    <font>
      <sz val="12"/>
      <color rgb="FF000000"/>
      <name val="Calibri"/>
      <family val="2"/>
      <scheme val="minor"/>
    </font>
    <font>
      <b/>
      <sz val="14"/>
      <color rgb="FF092DF2"/>
      <name val="Calibri"/>
      <family val="2"/>
      <scheme val="minor"/>
    </font>
    <font>
      <b/>
      <sz val="12"/>
      <color rgb="FF000000"/>
      <name val="Calibri"/>
      <family val="2"/>
      <scheme val="minor"/>
    </font>
    <font>
      <b/>
      <sz val="12"/>
      <color theme="1"/>
      <name val="Calibri"/>
      <family val="2"/>
      <scheme val="minor"/>
    </font>
    <font>
      <i/>
      <sz val="10"/>
      <name val="Calibri"/>
      <family val="2"/>
      <scheme val="minor"/>
    </font>
    <font>
      <sz val="9"/>
      <color theme="1"/>
      <name val="Calibri"/>
      <family val="2"/>
      <scheme val="minor"/>
    </font>
    <font>
      <u/>
      <sz val="9"/>
      <color theme="10"/>
      <name val="Calibri"/>
      <family val="2"/>
      <scheme val="minor"/>
    </font>
    <font>
      <b/>
      <sz val="9"/>
      <color theme="1"/>
      <name val="Calibri"/>
      <family val="2"/>
      <scheme val="minor"/>
    </font>
    <font>
      <sz val="9"/>
      <name val="Calibri"/>
      <family val="2"/>
      <scheme val="minor"/>
    </font>
    <font>
      <b/>
      <sz val="20"/>
      <color rgb="FFFFFFFF"/>
      <name val="Calibri"/>
      <family val="2"/>
      <scheme val="minor"/>
    </font>
    <font>
      <sz val="9"/>
      <color indexed="81"/>
      <name val="Tahoma"/>
      <family val="2"/>
    </font>
    <font>
      <b/>
      <sz val="11"/>
      <color theme="0"/>
      <name val="Aptos Narrow"/>
      <family val="2"/>
    </font>
    <font>
      <sz val="10"/>
      <color rgb="FF0A2DF2"/>
      <name val="Calibri"/>
      <family val="2"/>
      <scheme val="minor"/>
    </font>
    <font>
      <b/>
      <sz val="9"/>
      <color indexed="81"/>
      <name val="Tahoma"/>
      <family val="2"/>
    </font>
    <font>
      <b/>
      <sz val="14"/>
      <color rgb="FFFFFFFF"/>
      <name val="Calibri"/>
      <family val="2"/>
    </font>
    <font>
      <u/>
      <sz val="12"/>
      <color theme="10"/>
      <name val="Calibri"/>
      <family val="2"/>
      <scheme val="minor"/>
    </font>
    <font>
      <b/>
      <sz val="18"/>
      <color rgb="FF092DF2"/>
      <name val="Calibri"/>
      <family val="2"/>
      <scheme val="minor"/>
    </font>
    <font>
      <b/>
      <sz val="16"/>
      <color rgb="FFFFFFFF"/>
      <name val="Calibri"/>
      <family val="2"/>
      <scheme val="minor"/>
    </font>
    <font>
      <b/>
      <sz val="16"/>
      <color rgb="FFFFFFFF"/>
      <name val="Calibri"/>
      <family val="2"/>
    </font>
    <font>
      <b/>
      <sz val="16"/>
      <name val="Calibri"/>
      <family val="2"/>
    </font>
    <font>
      <b/>
      <sz val="14"/>
      <color theme="0"/>
      <name val="Calibri"/>
      <family val="2"/>
    </font>
    <font>
      <b/>
      <sz val="12"/>
      <color theme="7"/>
      <name val="Calibri"/>
      <family val="2"/>
      <scheme val="minor"/>
    </font>
    <font>
      <b/>
      <sz val="16"/>
      <color theme="0"/>
      <name val="Calibri"/>
      <family val="2"/>
    </font>
    <font>
      <sz val="11"/>
      <color rgb="FF0A2DF2"/>
      <name val="Calibri"/>
      <family val="2"/>
      <scheme val="minor"/>
    </font>
    <font>
      <sz val="11"/>
      <color theme="0" tint="-0.34998626667073579"/>
      <name val="Calibri"/>
      <family val="2"/>
      <scheme val="minor"/>
    </font>
    <font>
      <b/>
      <sz val="11"/>
      <color theme="1"/>
      <name val="Calibri"/>
      <family val="2"/>
    </font>
    <font>
      <sz val="16"/>
      <color theme="0"/>
      <name val="Calibri"/>
      <family val="2"/>
    </font>
    <font>
      <sz val="15"/>
      <color theme="0"/>
      <name val="Calibri"/>
      <family val="2"/>
    </font>
    <font>
      <b/>
      <u val="singleAccounting"/>
      <sz val="11"/>
      <color theme="1"/>
      <name val="Calibri"/>
      <family val="2"/>
      <scheme val="minor"/>
    </font>
    <font>
      <sz val="11"/>
      <color theme="0" tint="-0.249977111117893"/>
      <name val="Calibri"/>
      <family val="2"/>
      <scheme val="minor"/>
    </font>
    <font>
      <b/>
      <sz val="12"/>
      <color rgb="FFFF0000"/>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8" tint="0.59996337778862885"/>
        <bgColor indexed="64"/>
      </patternFill>
    </fill>
    <fill>
      <patternFill patternType="solid">
        <fgColor rgb="FF002D3E"/>
        <bgColor indexed="64"/>
      </patternFill>
    </fill>
    <fill>
      <patternFill patternType="solid">
        <fgColor rgb="FF0078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5"/>
        <bgColor indexed="64"/>
      </patternFill>
    </fill>
    <fill>
      <patternFill patternType="solid">
        <fgColor theme="5" tint="0.59999389629810485"/>
        <bgColor indexed="64"/>
      </patternFill>
    </fill>
    <fill>
      <patternFill patternType="solid">
        <fgColor theme="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0F5641"/>
        <bgColor rgb="FF000000"/>
      </patternFill>
    </fill>
    <fill>
      <patternFill patternType="solid">
        <fgColor theme="2" tint="-0.499984740745262"/>
        <bgColor rgb="FF000000"/>
      </patternFill>
    </fill>
    <fill>
      <patternFill patternType="solid">
        <fgColor theme="0"/>
        <bgColor rgb="FF000000"/>
      </patternFill>
    </fill>
    <fill>
      <patternFill patternType="solid">
        <fgColor rgb="FFF5F3E8"/>
        <bgColor indexed="64"/>
      </patternFill>
    </fill>
    <fill>
      <patternFill patternType="solid">
        <fgColor rgb="FF0DC684"/>
        <bgColor indexed="64"/>
      </patternFill>
    </fill>
    <fill>
      <patternFill patternType="solid">
        <fgColor rgb="FFD2F2E6"/>
        <bgColor indexed="64"/>
      </patternFill>
    </fill>
    <fill>
      <patternFill patternType="solid">
        <fgColor rgb="FF0F5641"/>
        <bgColor indexed="64"/>
      </patternFill>
    </fill>
    <fill>
      <patternFill patternType="solid">
        <fgColor theme="2" tint="-0.499984740745262"/>
        <bgColor indexed="64"/>
      </patternFill>
    </fill>
    <fill>
      <patternFill patternType="solid">
        <fgColor theme="1"/>
        <bgColor theme="1"/>
      </patternFill>
    </fill>
    <fill>
      <patternFill patternType="solid">
        <fgColor theme="4" tint="-0.249977111117893"/>
        <bgColor indexed="64"/>
      </patternFill>
    </fill>
    <fill>
      <patternFill patternType="solid">
        <fgColor rgb="FF00695F"/>
        <bgColor indexed="64"/>
      </patternFill>
    </fill>
    <fill>
      <patternFill patternType="solid">
        <fgColor theme="8" tint="0.39997558519241921"/>
        <bgColor indexed="64"/>
      </patternFill>
    </fill>
    <fill>
      <patternFill patternType="solid">
        <fgColor rgb="FF0A2DF2"/>
        <bgColor indexed="64"/>
      </patternFill>
    </fill>
    <fill>
      <patternFill patternType="solid">
        <fgColor rgb="FF00B050"/>
        <bgColor indexed="64"/>
      </patternFill>
    </fill>
    <fill>
      <patternFill patternType="solid">
        <fgColor rgb="FFFF000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rgb="FFD72232"/>
        <bgColor indexed="64"/>
      </patternFill>
    </fill>
    <fill>
      <patternFill patternType="solid">
        <fgColor rgb="FFF6CACE"/>
        <bgColor indexed="64"/>
      </patternFill>
    </fill>
    <fill>
      <patternFill patternType="solid">
        <fgColor rgb="FFFBE5E7"/>
        <bgColor indexed="64"/>
      </patternFill>
    </fill>
    <fill>
      <patternFill patternType="solid">
        <fgColor rgb="FFDEE3FE"/>
        <bgColor indexed="64"/>
      </patternFill>
    </fill>
  </fills>
  <borders count="3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rgb="FF0078E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A2DF2"/>
      </left>
      <right style="thin">
        <color rgb="FF0A2DF2"/>
      </right>
      <top style="thin">
        <color rgb="FF0A2DF2"/>
      </top>
      <bottom style="thin">
        <color rgb="FF0A2DF2"/>
      </bottom>
      <diagonal/>
    </border>
    <border>
      <left style="thin">
        <color indexed="64"/>
      </left>
      <right/>
      <top style="thin">
        <color rgb="FF0A2DF2"/>
      </top>
      <bottom style="thin">
        <color rgb="FF0A2DF2"/>
      </bottom>
      <diagonal/>
    </border>
    <border>
      <left/>
      <right/>
      <top style="thin">
        <color rgb="FF0A2DF2"/>
      </top>
      <bottom style="thin">
        <color rgb="FF0A2DF2"/>
      </bottom>
      <diagonal/>
    </border>
    <border>
      <left/>
      <right style="thin">
        <color rgb="FF0A2DF2"/>
      </right>
      <top style="thin">
        <color rgb="FF0A2DF2"/>
      </top>
      <bottom style="thin">
        <color rgb="FF0A2DF2"/>
      </bottom>
      <diagonal/>
    </border>
    <border>
      <left/>
      <right/>
      <top style="thin">
        <color theme="1"/>
      </top>
      <bottom/>
      <diagonal/>
    </border>
    <border>
      <left style="thin">
        <color theme="1"/>
      </left>
      <right/>
      <top style="thin">
        <color theme="1"/>
      </top>
      <bottom/>
      <diagonal/>
    </border>
    <border>
      <left/>
      <right style="thin">
        <color theme="1"/>
      </right>
      <top style="thin">
        <color theme="1"/>
      </top>
      <bottom/>
      <diagonal/>
    </border>
    <border>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right style="thick">
        <color indexed="64"/>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top/>
      <bottom/>
      <diagonal/>
    </border>
    <border>
      <left style="thick">
        <color indexed="64"/>
      </left>
      <right/>
      <top style="thin">
        <color indexed="64"/>
      </top>
      <bottom/>
      <diagonal/>
    </border>
    <border>
      <left style="thick">
        <color indexed="64"/>
      </left>
      <right/>
      <top/>
      <bottom style="thin">
        <color indexed="64"/>
      </bottom>
      <diagonal/>
    </border>
    <border>
      <left style="thin">
        <color rgb="FF0A2DF2"/>
      </left>
      <right style="thin">
        <color rgb="FF0A2DF2"/>
      </right>
      <top style="thin">
        <color rgb="FF0A2DF2"/>
      </top>
      <bottom/>
      <diagonal/>
    </border>
    <border>
      <left style="thin">
        <color rgb="FF0A2DF2"/>
      </left>
      <right style="thin">
        <color rgb="FF0A2DF2"/>
      </right>
      <top/>
      <bottom style="thin">
        <color rgb="FF0A2DF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rgb="FF0A2DF2"/>
      </left>
      <right style="thin">
        <color rgb="FF0A2DF2"/>
      </right>
      <top style="thin">
        <color rgb="FF0A2DF2"/>
      </top>
      <bottom style="thin">
        <color indexed="64"/>
      </bottom>
      <diagonal/>
    </border>
  </borders>
  <cellStyleXfs count="30">
    <xf numFmtId="0" fontId="0" fillId="0" borderId="0" applyBorder="0"/>
    <xf numFmtId="0" fontId="7" fillId="5" borderId="12" applyNumberFormat="0" applyAlignment="0" applyProtection="0"/>
    <xf numFmtId="0" fontId="8" fillId="4" borderId="0" applyNumberFormat="0" applyBorder="0" applyAlignment="0" applyProtection="0"/>
    <xf numFmtId="0" fontId="2" fillId="4" borderId="0" applyNumberFormat="0" applyAlignment="0" applyProtection="0"/>
    <xf numFmtId="164" fontId="1" fillId="3" borderId="0" applyBorder="0" applyAlignment="0" applyProtection="0"/>
    <xf numFmtId="0" fontId="9" fillId="0" borderId="0" applyNumberFormat="0" applyBorder="0" applyAlignment="0" applyProtection="0"/>
    <xf numFmtId="164" fontId="1" fillId="2" borderId="0" applyBorder="0" applyAlignment="0" applyProtection="0"/>
    <xf numFmtId="3" fontId="13" fillId="2" borderId="0" applyBorder="0" applyAlignment="0" applyProtection="0"/>
    <xf numFmtId="0" fontId="3" fillId="2" borderId="0" applyNumberFormat="0" applyBorder="0" applyAlignment="0" applyProtection="0"/>
    <xf numFmtId="0" fontId="4" fillId="2" borderId="0" applyNumberFormat="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4" fillId="2" borderId="0" applyNumberFormat="0" applyBorder="0" applyAlignment="0" applyProtection="0"/>
    <xf numFmtId="0" fontId="3" fillId="2" borderId="0" applyNumberFormat="0" applyBorder="0" applyAlignment="0" applyProtection="0"/>
    <xf numFmtId="0" fontId="18" fillId="2" borderId="0" applyNumberFormat="0" applyFill="0" applyBorder="0" applyAlignment="0" applyProtection="0"/>
    <xf numFmtId="0" fontId="31" fillId="21" borderId="0" applyNumberFormat="0" applyFont="0" applyAlignment="0">
      <alignment horizontal="left" vertical="top" wrapText="1"/>
    </xf>
    <xf numFmtId="0" fontId="1" fillId="9" borderId="6" applyNumberFormat="0" applyFont="0" applyBorder="0" applyAlignment="0">
      <alignment horizontal="left"/>
    </xf>
    <xf numFmtId="164" fontId="40" fillId="2" borderId="17" applyNumberFormat="0" applyAlignment="0" applyProtection="0">
      <alignment horizontal="right"/>
    </xf>
    <xf numFmtId="0" fontId="5" fillId="10" borderId="14" applyNumberFormat="0" applyBorder="0" applyAlignment="0">
      <alignment horizontal="left"/>
    </xf>
    <xf numFmtId="0" fontId="68" fillId="25" borderId="16" applyNumberFormat="0" applyBorder="0" applyAlignment="0">
      <alignment horizontal="left" vertical="center"/>
    </xf>
    <xf numFmtId="0" fontId="42" fillId="10" borderId="0" applyNumberFormat="0" applyBorder="0" applyAlignment="0">
      <alignment vertical="center"/>
    </xf>
    <xf numFmtId="0" fontId="1" fillId="2" borderId="6" applyNumberFormat="0" applyFont="0" applyBorder="0" applyAlignment="0"/>
    <xf numFmtId="0" fontId="67" fillId="22" borderId="16" applyNumberFormat="0" applyBorder="0" applyAlignment="0">
      <alignment horizontal="left" vertical="center"/>
    </xf>
    <xf numFmtId="0" fontId="32" fillId="23" borderId="0" applyBorder="0" applyAlignment="0">
      <alignment horizontal="left" vertical="top" wrapText="1"/>
    </xf>
    <xf numFmtId="0" fontId="66" fillId="18" borderId="0" applyNumberFormat="0" applyBorder="0">
      <alignment horizontal="left" vertical="center" wrapText="1"/>
    </xf>
    <xf numFmtId="0" fontId="62" fillId="19" borderId="0" applyNumberFormat="0" applyBorder="0">
      <alignment horizontal="left" vertical="center"/>
    </xf>
    <xf numFmtId="0" fontId="41" fillId="22" borderId="16" applyNumberFormat="0" applyBorder="0">
      <alignment horizontal="left" vertical="center"/>
    </xf>
    <xf numFmtId="0" fontId="69" fillId="25" borderId="16">
      <alignment horizontal="right" vertical="top"/>
    </xf>
    <xf numFmtId="0" fontId="70" fillId="24" borderId="0" applyNumberFormat="0" applyBorder="0" applyAlignment="0">
      <alignment horizontal="left" vertical="center"/>
    </xf>
  </cellStyleXfs>
  <cellXfs count="582">
    <xf numFmtId="0" fontId="0" fillId="0" borderId="0" xfId="0"/>
    <xf numFmtId="9" fontId="7" fillId="25" borderId="16" xfId="20" applyNumberFormat="1" applyFont="1" applyBorder="1" applyAlignment="1">
      <alignment horizontal="center" vertical="center"/>
    </xf>
    <xf numFmtId="0" fontId="7" fillId="5" borderId="12" xfId="1"/>
    <xf numFmtId="0" fontId="8" fillId="4" borderId="0" xfId="2"/>
    <xf numFmtId="0" fontId="10" fillId="2" borderId="0" xfId="0" applyFont="1" applyFill="1"/>
    <xf numFmtId="0" fontId="11" fillId="2" borderId="0" xfId="0" applyFont="1" applyFill="1"/>
    <xf numFmtId="0" fontId="12" fillId="2" borderId="0" xfId="0" applyFont="1" applyFill="1" applyAlignment="1">
      <alignment vertical="center" wrapText="1"/>
    </xf>
    <xf numFmtId="0" fontId="0" fillId="2" borderId="0" xfId="0" applyFill="1" applyBorder="1"/>
    <xf numFmtId="165" fontId="0" fillId="2" borderId="0" xfId="0" applyNumberFormat="1" applyFill="1" applyAlignment="1">
      <alignment horizontal="left"/>
    </xf>
    <xf numFmtId="166" fontId="0" fillId="2" borderId="0" xfId="0" applyNumberFormat="1" applyFill="1" applyAlignment="1">
      <alignment horizontal="left"/>
    </xf>
    <xf numFmtId="0" fontId="0" fillId="2" borderId="13" xfId="0" applyFill="1" applyBorder="1"/>
    <xf numFmtId="0" fontId="0" fillId="11" borderId="0" xfId="0" applyFill="1" applyBorder="1"/>
    <xf numFmtId="3" fontId="0" fillId="2" borderId="0" xfId="0" applyNumberFormat="1" applyFill="1" applyAlignment="1">
      <alignment horizontal="left"/>
    </xf>
    <xf numFmtId="0" fontId="0" fillId="2" borderId="0" xfId="0" quotePrefix="1" applyFill="1"/>
    <xf numFmtId="0" fontId="0" fillId="2" borderId="15" xfId="0" applyFill="1" applyBorder="1"/>
    <xf numFmtId="0" fontId="0" fillId="12" borderId="13" xfId="0" applyFill="1" applyBorder="1"/>
    <xf numFmtId="0" fontId="0" fillId="12" borderId="13" xfId="0" applyFill="1" applyBorder="1" applyAlignment="1">
      <alignment horizontal="center"/>
    </xf>
    <xf numFmtId="0" fontId="9" fillId="2" borderId="0" xfId="0" applyFont="1" applyFill="1" applyBorder="1"/>
    <xf numFmtId="0" fontId="29" fillId="2" borderId="0" xfId="0" applyFont="1" applyFill="1"/>
    <xf numFmtId="0" fontId="0" fillId="2" borderId="0" xfId="0" applyFill="1"/>
    <xf numFmtId="0" fontId="7" fillId="21" borderId="0" xfId="16" applyFont="1" applyAlignment="1"/>
    <xf numFmtId="0" fontId="0" fillId="21" borderId="0" xfId="16" applyFont="1" applyAlignment="1"/>
    <xf numFmtId="0" fontId="0" fillId="21" borderId="0" xfId="16" applyFont="1" applyAlignment="1">
      <alignment horizontal="right"/>
    </xf>
    <xf numFmtId="0" fontId="0" fillId="21" borderId="0" xfId="16" applyFont="1" applyAlignment="1">
      <alignment horizontal="left"/>
    </xf>
    <xf numFmtId="0" fontId="5" fillId="21" borderId="0" xfId="16" applyFont="1" applyAlignment="1"/>
    <xf numFmtId="0" fontId="32" fillId="23" borderId="6" xfId="24" applyBorder="1" applyAlignment="1">
      <alignment horizontal="center" vertical="top" wrapText="1"/>
    </xf>
    <xf numFmtId="0" fontId="32" fillId="23" borderId="8" xfId="24" applyBorder="1" applyAlignment="1">
      <alignment horizontal="center" vertical="top" wrapText="1"/>
    </xf>
    <xf numFmtId="0" fontId="32" fillId="23" borderId="10" xfId="24" applyBorder="1" applyAlignment="1">
      <alignment horizontal="center" vertical="top" wrapText="1"/>
    </xf>
    <xf numFmtId="0" fontId="0" fillId="21" borderId="0" xfId="16" applyFont="1" applyAlignment="1">
      <alignment horizontal="center" vertical="top"/>
    </xf>
    <xf numFmtId="0" fontId="67" fillId="22" borderId="14" xfId="23" applyBorder="1" applyAlignment="1">
      <alignment horizontal="center" vertical="top"/>
    </xf>
    <xf numFmtId="0" fontId="32" fillId="23" borderId="8" xfId="24" applyBorder="1" applyAlignment="1">
      <alignment horizontal="center" vertical="top"/>
    </xf>
    <xf numFmtId="0" fontId="68" fillId="25" borderId="14" xfId="20" applyBorder="1" applyAlignment="1"/>
    <xf numFmtId="0" fontId="41" fillId="22" borderId="6" xfId="27" applyBorder="1" applyAlignment="1">
      <alignment horizontal="center" vertical="top"/>
    </xf>
    <xf numFmtId="0" fontId="0" fillId="2" borderId="6" xfId="22" applyFont="1" applyBorder="1" applyAlignment="1"/>
    <xf numFmtId="0" fontId="0" fillId="2" borderId="5" xfId="22" applyFont="1" applyBorder="1" applyAlignment="1"/>
    <xf numFmtId="0" fontId="0" fillId="2" borderId="8" xfId="22" applyFont="1" applyBorder="1" applyAlignment="1"/>
    <xf numFmtId="0" fontId="0" fillId="2" borderId="0" xfId="22" applyFont="1" applyBorder="1" applyAlignment="1"/>
    <xf numFmtId="0" fontId="0" fillId="2" borderId="9" xfId="22" applyFont="1" applyBorder="1" applyAlignment="1"/>
    <xf numFmtId="0" fontId="0" fillId="2" borderId="10" xfId="22" applyFont="1" applyBorder="1" applyAlignment="1"/>
    <xf numFmtId="0" fontId="0" fillId="2" borderId="4" xfId="22" applyFont="1" applyBorder="1" applyAlignment="1"/>
    <xf numFmtId="0" fontId="21" fillId="2" borderId="5" xfId="22" applyFont="1" applyBorder="1" applyAlignment="1">
      <alignment vertical="top"/>
    </xf>
    <xf numFmtId="0" fontId="21" fillId="2" borderId="0" xfId="22" applyFont="1" applyBorder="1" applyAlignment="1">
      <alignment vertical="top"/>
    </xf>
    <xf numFmtId="0" fontId="5" fillId="2" borderId="8" xfId="22" applyFont="1" applyBorder="1" applyAlignment="1"/>
    <xf numFmtId="0" fontId="25" fillId="2" borderId="5" xfId="22" applyFont="1" applyBorder="1" applyAlignment="1">
      <alignment vertical="center" wrapText="1"/>
    </xf>
    <xf numFmtId="0" fontId="25" fillId="2" borderId="7" xfId="22" applyFont="1" applyBorder="1" applyAlignment="1">
      <alignment vertical="center" wrapText="1"/>
    </xf>
    <xf numFmtId="0" fontId="25" fillId="2" borderId="9" xfId="22" applyFont="1" applyBorder="1" applyAlignment="1">
      <alignment vertical="center" wrapText="1"/>
    </xf>
    <xf numFmtId="0" fontId="25" fillId="2" borderId="4" xfId="22" applyFont="1" applyBorder="1" applyAlignment="1">
      <alignment vertical="center" wrapText="1"/>
    </xf>
    <xf numFmtId="0" fontId="25" fillId="2" borderId="11" xfId="22" applyFont="1" applyBorder="1" applyAlignment="1">
      <alignment vertical="center" wrapText="1"/>
    </xf>
    <xf numFmtId="0" fontId="5" fillId="15" borderId="0" xfId="0" applyFont="1" applyFill="1"/>
    <xf numFmtId="3" fontId="3" fillId="2" borderId="0" xfId="8" applyNumberFormat="1"/>
    <xf numFmtId="0" fontId="0" fillId="0" borderId="0" xfId="0" applyBorder="1"/>
    <xf numFmtId="0" fontId="70" fillId="24" borderId="16" xfId="29" applyBorder="1" applyAlignment="1"/>
    <xf numFmtId="0" fontId="70" fillId="21" borderId="0" xfId="29" applyFill="1" applyAlignment="1"/>
    <xf numFmtId="0" fontId="30" fillId="22" borderId="14" xfId="27" applyFont="1" applyBorder="1" applyAlignment="1">
      <alignment horizontal="center" vertical="top"/>
    </xf>
    <xf numFmtId="0" fontId="34" fillId="21" borderId="0" xfId="29" applyFont="1" applyFill="1" applyBorder="1" applyAlignment="1"/>
    <xf numFmtId="0" fontId="32" fillId="21" borderId="0" xfId="16" applyFont="1" applyAlignment="1"/>
    <xf numFmtId="0" fontId="32" fillId="21" borderId="0" xfId="16" applyFont="1" applyAlignment="1">
      <alignment horizontal="right"/>
    </xf>
    <xf numFmtId="0" fontId="32" fillId="21" borderId="0" xfId="16" applyFont="1" applyAlignment="1">
      <alignment horizontal="left"/>
    </xf>
    <xf numFmtId="0" fontId="35" fillId="21" borderId="0" xfId="16" applyFont="1" applyAlignment="1">
      <alignment horizontal="left" vertical="top"/>
    </xf>
    <xf numFmtId="0" fontId="36" fillId="21" borderId="0" xfId="16" applyFont="1" applyAlignment="1">
      <alignment horizontal="left" vertical="top" wrapText="1"/>
    </xf>
    <xf numFmtId="0" fontId="36" fillId="21" borderId="0" xfId="16" applyFont="1" applyAlignment="1">
      <alignment horizontal="right" vertical="top" wrapText="1"/>
    </xf>
    <xf numFmtId="0" fontId="32" fillId="23" borderId="5" xfId="24" applyBorder="1" applyAlignment="1">
      <alignment horizontal="left" vertical="top" wrapText="1"/>
    </xf>
    <xf numFmtId="0" fontId="32" fillId="23" borderId="0" xfId="24" applyBorder="1" applyAlignment="1">
      <alignment vertical="top" wrapText="1"/>
    </xf>
    <xf numFmtId="0" fontId="32" fillId="23" borderId="7" xfId="24" applyBorder="1">
      <alignment horizontal="left" vertical="top" wrapText="1"/>
    </xf>
    <xf numFmtId="0" fontId="32" fillId="23" borderId="9" xfId="24" applyBorder="1">
      <alignment horizontal="left" vertical="top" wrapText="1"/>
    </xf>
    <xf numFmtId="0" fontId="32" fillId="23" borderId="5" xfId="24" applyBorder="1" applyAlignment="1">
      <alignment vertical="top" wrapText="1"/>
    </xf>
    <xf numFmtId="0" fontId="33" fillId="23" borderId="5" xfId="24" applyFont="1" applyBorder="1" applyAlignment="1">
      <alignment vertical="center" wrapText="1"/>
    </xf>
    <xf numFmtId="0" fontId="33" fillId="23" borderId="7" xfId="24" applyFont="1" applyBorder="1" applyAlignment="1">
      <alignment vertical="center" wrapText="1"/>
    </xf>
    <xf numFmtId="0" fontId="40" fillId="2" borderId="17" xfId="18" applyNumberFormat="1" applyAlignment="1">
      <alignment horizontal="right"/>
    </xf>
    <xf numFmtId="1" fontId="40" fillId="2" borderId="17" xfId="18" applyNumberFormat="1" applyAlignment="1">
      <alignment horizontal="right"/>
    </xf>
    <xf numFmtId="174" fontId="40" fillId="2" borderId="17" xfId="18" applyNumberFormat="1" applyAlignment="1">
      <alignment horizontal="right"/>
    </xf>
    <xf numFmtId="0" fontId="39" fillId="10" borderId="14" xfId="19" applyFont="1" applyBorder="1" applyAlignment="1"/>
    <xf numFmtId="0" fontId="39" fillId="10" borderId="5" xfId="19" applyFont="1" applyBorder="1" applyAlignment="1">
      <alignment horizontal="center" vertical="center"/>
    </xf>
    <xf numFmtId="0" fontId="39" fillId="10" borderId="15" xfId="19" applyFont="1" applyBorder="1" applyAlignment="1">
      <alignment horizontal="left"/>
    </xf>
    <xf numFmtId="0" fontId="46" fillId="20" borderId="0" xfId="0" applyFont="1" applyFill="1"/>
    <xf numFmtId="0" fontId="45" fillId="20" borderId="0" xfId="0" applyFont="1" applyFill="1"/>
    <xf numFmtId="0" fontId="45" fillId="2" borderId="0" xfId="0" applyFont="1" applyFill="1"/>
    <xf numFmtId="49" fontId="48" fillId="20" borderId="0" xfId="0" applyNumberFormat="1" applyFont="1" applyFill="1" applyAlignment="1">
      <alignment horizontal="center" vertical="top" wrapText="1"/>
    </xf>
    <xf numFmtId="49" fontId="45" fillId="20" borderId="0" xfId="0" applyNumberFormat="1" applyFont="1" applyFill="1"/>
    <xf numFmtId="0" fontId="44" fillId="2" borderId="0" xfId="0" applyFont="1" applyFill="1"/>
    <xf numFmtId="0" fontId="24" fillId="2" borderId="0" xfId="0" applyFont="1" applyFill="1" applyAlignment="1">
      <alignment vertical="center"/>
    </xf>
    <xf numFmtId="0" fontId="48" fillId="20" borderId="0" xfId="0" applyFont="1" applyFill="1" applyAlignment="1">
      <alignment horizontal="left" vertical="top" wrapText="1"/>
    </xf>
    <xf numFmtId="0" fontId="43" fillId="2" borderId="0" xfId="0" applyFont="1" applyFill="1" applyAlignment="1">
      <alignment horizontal="left" vertical="center" wrapText="1"/>
    </xf>
    <xf numFmtId="49" fontId="48" fillId="2" borderId="0" xfId="0" applyNumberFormat="1" applyFont="1" applyFill="1" applyAlignment="1">
      <alignment vertical="top" wrapText="1"/>
    </xf>
    <xf numFmtId="49" fontId="44" fillId="2" borderId="0" xfId="0" applyNumberFormat="1" applyFont="1" applyFill="1" applyAlignment="1">
      <alignment vertical="top" wrapText="1"/>
    </xf>
    <xf numFmtId="0" fontId="43" fillId="2" borderId="0" xfId="0" applyFont="1" applyFill="1" applyAlignment="1">
      <alignment vertical="top" wrapText="1"/>
    </xf>
    <xf numFmtId="0" fontId="48" fillId="20" borderId="0" xfId="0" applyFont="1" applyFill="1" applyAlignment="1">
      <alignment vertical="top" wrapText="1"/>
    </xf>
    <xf numFmtId="0" fontId="48" fillId="20" borderId="0" xfId="0" applyFont="1" applyFill="1" applyAlignment="1">
      <alignment vertical="top"/>
    </xf>
    <xf numFmtId="0" fontId="43" fillId="20" borderId="0" xfId="0" applyFont="1" applyFill="1" applyAlignment="1">
      <alignment vertical="top" wrapText="1"/>
    </xf>
    <xf numFmtId="0" fontId="46" fillId="20" borderId="0" xfId="0" applyFont="1" applyFill="1" applyAlignment="1">
      <alignment horizontal="left" wrapText="1"/>
    </xf>
    <xf numFmtId="0" fontId="45" fillId="20" borderId="0" xfId="0" applyFont="1" applyFill="1" applyAlignment="1">
      <alignment wrapText="1"/>
    </xf>
    <xf numFmtId="0" fontId="0" fillId="2" borderId="0" xfId="0" applyFill="1" applyAlignment="1">
      <alignment wrapText="1"/>
    </xf>
    <xf numFmtId="0" fontId="48" fillId="20" borderId="0" xfId="0" applyFont="1" applyFill="1"/>
    <xf numFmtId="0" fontId="45" fillId="20" borderId="0" xfId="0" applyFont="1" applyFill="1" applyAlignment="1">
      <alignment horizontal="left" vertical="top" wrapText="1"/>
    </xf>
    <xf numFmtId="49" fontId="50" fillId="20" borderId="0" xfId="0" applyNumberFormat="1" applyFont="1" applyFill="1" applyAlignment="1">
      <alignment horizontal="center" vertical="top" wrapText="1"/>
    </xf>
    <xf numFmtId="0" fontId="47" fillId="20" borderId="0" xfId="0" quotePrefix="1" applyFont="1" applyFill="1" applyAlignment="1">
      <alignment horizontal="left" vertical="center"/>
    </xf>
    <xf numFmtId="0" fontId="47" fillId="20" borderId="0" xfId="0" applyFont="1" applyFill="1" applyAlignment="1">
      <alignment horizontal="left" vertical="center"/>
    </xf>
    <xf numFmtId="0" fontId="51" fillId="2" borderId="0" xfId="0" applyFont="1" applyFill="1" applyAlignment="1">
      <alignment horizontal="left"/>
    </xf>
    <xf numFmtId="10" fontId="44" fillId="2" borderId="0" xfId="0" applyNumberFormat="1" applyFont="1" applyFill="1" applyAlignment="1">
      <alignment horizontal="left" vertical="top"/>
    </xf>
    <xf numFmtId="0" fontId="51" fillId="2" borderId="0" xfId="0" applyFont="1" applyFill="1" applyAlignment="1">
      <alignment horizontal="left" vertical="top"/>
    </xf>
    <xf numFmtId="0" fontId="0" fillId="2" borderId="0" xfId="0" applyFill="1" applyAlignment="1">
      <alignment vertical="center"/>
    </xf>
    <xf numFmtId="49" fontId="50" fillId="20" borderId="0" xfId="0" applyNumberFormat="1" applyFont="1" applyFill="1" applyAlignment="1">
      <alignment horizontal="right" vertical="top" wrapText="1"/>
    </xf>
    <xf numFmtId="0" fontId="44" fillId="2" borderId="0" xfId="0" applyFont="1" applyFill="1" applyAlignment="1">
      <alignment horizontal="right" vertical="center"/>
    </xf>
    <xf numFmtId="0" fontId="44" fillId="2" borderId="0" xfId="0" applyFont="1" applyFill="1" applyAlignment="1">
      <alignment vertical="center"/>
    </xf>
    <xf numFmtId="0" fontId="44" fillId="2" borderId="0" xfId="0" applyFont="1" applyFill="1" applyAlignment="1">
      <alignment horizontal="right" vertical="top"/>
    </xf>
    <xf numFmtId="0" fontId="44" fillId="2" borderId="0" xfId="0" applyFont="1" applyFill="1" applyAlignment="1">
      <alignment vertical="center" wrapText="1"/>
    </xf>
    <xf numFmtId="0" fontId="32" fillId="23" borderId="10" xfId="24" applyBorder="1" applyAlignment="1">
      <alignment horizontal="center" vertical="top"/>
    </xf>
    <xf numFmtId="0" fontId="0" fillId="0" borderId="0" xfId="0" applyAlignment="1">
      <alignment vertical="top"/>
    </xf>
    <xf numFmtId="0" fontId="0" fillId="0" borderId="13" xfId="0" applyBorder="1"/>
    <xf numFmtId="0" fontId="53" fillId="0" borderId="0" xfId="0" applyFont="1" applyAlignment="1">
      <alignment vertical="top" wrapText="1"/>
    </xf>
    <xf numFmtId="0" fontId="0" fillId="0" borderId="0" xfId="0" applyAlignment="1">
      <alignment vertical="top" wrapText="1"/>
    </xf>
    <xf numFmtId="0" fontId="22" fillId="0" borderId="0" xfId="0" applyFont="1" applyAlignment="1">
      <alignment vertical="top"/>
    </xf>
    <xf numFmtId="0" fontId="0" fillId="0" borderId="0" xfId="0" applyBorder="1" applyAlignment="1">
      <alignment vertical="top" wrapText="1"/>
    </xf>
    <xf numFmtId="0" fontId="0" fillId="0" borderId="0" xfId="0" applyBorder="1" applyAlignment="1">
      <alignment vertical="top"/>
    </xf>
    <xf numFmtId="0" fontId="0" fillId="0" borderId="0" xfId="0" applyAlignment="1">
      <alignment horizontal="center" vertical="top" wrapText="1"/>
    </xf>
    <xf numFmtId="0" fontId="37" fillId="23" borderId="0" xfId="24" applyFont="1" applyBorder="1" applyAlignment="1">
      <alignment horizontal="left" vertical="top" wrapText="1"/>
    </xf>
    <xf numFmtId="9" fontId="37" fillId="9" borderId="9" xfId="17" applyNumberFormat="1" applyFont="1" applyBorder="1" applyAlignment="1">
      <alignment horizontal="center" vertical="center"/>
    </xf>
    <xf numFmtId="9" fontId="37" fillId="9" borderId="11" xfId="17" applyNumberFormat="1" applyFont="1" applyBorder="1" applyAlignment="1">
      <alignment horizontal="center" vertical="center"/>
    </xf>
    <xf numFmtId="3" fontId="2" fillId="27" borderId="13" xfId="0" applyNumberFormat="1" applyFont="1" applyFill="1" applyBorder="1" applyAlignment="1">
      <alignment horizontal="center" vertical="center"/>
    </xf>
    <xf numFmtId="3" fontId="2" fillId="13" borderId="13" xfId="0" applyNumberFormat="1" applyFont="1" applyFill="1" applyBorder="1" applyAlignment="1">
      <alignment horizontal="center" vertical="center"/>
    </xf>
    <xf numFmtId="3" fontId="0" fillId="0" borderId="0" xfId="0" applyNumberFormat="1"/>
    <xf numFmtId="0" fontId="44" fillId="2" borderId="9" xfId="22" applyFont="1" applyBorder="1" applyAlignment="1">
      <alignment vertical="center" wrapText="1"/>
    </xf>
    <xf numFmtId="0" fontId="44" fillId="2" borderId="11" xfId="22" applyFont="1" applyBorder="1" applyAlignment="1">
      <alignment vertical="center" wrapText="1"/>
    </xf>
    <xf numFmtId="0" fontId="0" fillId="0" borderId="0" xfId="0" applyBorder="1" applyAlignment="1">
      <alignment horizontal="left" vertical="top"/>
    </xf>
    <xf numFmtId="0" fontId="5" fillId="16" borderId="0" xfId="0" applyFont="1" applyFill="1" applyBorder="1" applyAlignment="1">
      <alignment vertical="top"/>
    </xf>
    <xf numFmtId="0" fontId="5" fillId="16" borderId="0" xfId="0" applyFont="1" applyFill="1" applyBorder="1" applyAlignment="1">
      <alignment vertical="top" wrapText="1"/>
    </xf>
    <xf numFmtId="0" fontId="55" fillId="16" borderId="0" xfId="0" applyFont="1" applyFill="1" applyBorder="1" applyAlignment="1">
      <alignment vertical="top" wrapText="1"/>
    </xf>
    <xf numFmtId="0" fontId="0" fillId="0" borderId="0" xfId="0" applyAlignment="1">
      <alignment wrapText="1"/>
    </xf>
    <xf numFmtId="172" fontId="9" fillId="0" borderId="0" xfId="0" applyNumberFormat="1" applyFont="1" applyBorder="1"/>
    <xf numFmtId="0" fontId="9" fillId="0" borderId="0" xfId="0" applyFont="1" applyBorder="1"/>
    <xf numFmtId="0" fontId="8" fillId="25" borderId="14" xfId="20" applyFont="1" applyBorder="1" applyAlignment="1"/>
    <xf numFmtId="9" fontId="8" fillId="25" borderId="16" xfId="20" applyNumberFormat="1" applyFont="1" applyBorder="1" applyAlignment="1">
      <alignment horizontal="center" vertical="center"/>
    </xf>
    <xf numFmtId="0" fontId="8" fillId="25" borderId="16" xfId="20" applyFont="1" applyBorder="1" applyAlignment="1"/>
    <xf numFmtId="0" fontId="7" fillId="25" borderId="16" xfId="20" applyFont="1" applyBorder="1" applyAlignment="1"/>
    <xf numFmtId="0" fontId="37" fillId="23" borderId="9" xfId="24" applyFont="1" applyBorder="1" applyAlignment="1">
      <alignment horizontal="left" vertical="center" wrapText="1"/>
    </xf>
    <xf numFmtId="0" fontId="0" fillId="2" borderId="0" xfId="0" applyFill="1" applyBorder="1" applyAlignment="1">
      <alignment horizontal="center"/>
    </xf>
    <xf numFmtId="3" fontId="2" fillId="13" borderId="15" xfId="0" applyNumberFormat="1" applyFont="1" applyFill="1" applyBorder="1" applyAlignment="1">
      <alignment horizontal="center" vertical="center"/>
    </xf>
    <xf numFmtId="0" fontId="5" fillId="16" borderId="1" xfId="0" applyFont="1" applyFill="1" applyBorder="1" applyAlignment="1">
      <alignment vertical="top" wrapText="1"/>
    </xf>
    <xf numFmtId="0" fontId="5" fillId="16" borderId="1" xfId="0" applyFont="1" applyFill="1" applyBorder="1" applyAlignment="1">
      <alignment horizontal="center" vertical="top" wrapText="1"/>
    </xf>
    <xf numFmtId="0" fontId="0" fillId="0" borderId="0" xfId="0" applyAlignment="1">
      <alignment horizontal="center"/>
    </xf>
    <xf numFmtId="175" fontId="0" fillId="0" borderId="13" xfId="0" applyNumberFormat="1" applyBorder="1"/>
    <xf numFmtId="4" fontId="0" fillId="0" borderId="15" xfId="0" applyNumberFormat="1" applyBorder="1" applyAlignment="1">
      <alignment horizontal="center" vertical="center"/>
    </xf>
    <xf numFmtId="4" fontId="0" fillId="0" borderId="0" xfId="0" applyNumberFormat="1" applyAlignment="1">
      <alignment horizontal="center"/>
    </xf>
    <xf numFmtId="0" fontId="0" fillId="0" borderId="0" xfId="0" applyAlignment="1">
      <alignment horizontal="left"/>
    </xf>
    <xf numFmtId="0" fontId="2" fillId="26" borderId="22" xfId="0" applyFont="1" applyFill="1" applyBorder="1"/>
    <xf numFmtId="0" fontId="2" fillId="26" borderId="21" xfId="0" applyFont="1" applyFill="1" applyBorder="1"/>
    <xf numFmtId="0" fontId="0" fillId="0" borderId="21" xfId="0" applyBorder="1"/>
    <xf numFmtId="0" fontId="2" fillId="26" borderId="23" xfId="0" applyFont="1" applyFill="1" applyBorder="1"/>
    <xf numFmtId="0" fontId="18" fillId="0" borderId="0" xfId="15" applyFill="1" applyBorder="1" applyAlignment="1">
      <alignment vertical="center" wrapText="1"/>
    </xf>
    <xf numFmtId="0" fontId="54" fillId="0" borderId="0" xfId="15" applyFont="1" applyFill="1" applyBorder="1" applyAlignment="1">
      <alignment vertical="center" wrapText="1"/>
    </xf>
    <xf numFmtId="9" fontId="0" fillId="0" borderId="0" xfId="0" applyNumberFormat="1" applyBorder="1" applyAlignment="1">
      <alignment horizontal="center" vertical="center"/>
    </xf>
    <xf numFmtId="0" fontId="56" fillId="0" borderId="0" xfId="15" applyFont="1" applyFill="1" applyBorder="1" applyAlignment="1">
      <alignment vertical="center" wrapText="1"/>
    </xf>
    <xf numFmtId="175" fontId="0" fillId="0" borderId="15" xfId="0" applyNumberFormat="1" applyBorder="1"/>
    <xf numFmtId="0" fontId="0" fillId="0" borderId="0" xfId="0" applyBorder="1" applyAlignment="1">
      <alignment horizontal="center"/>
    </xf>
    <xf numFmtId="172" fontId="72" fillId="0" borderId="0" xfId="0" applyNumberFormat="1" applyFont="1" applyBorder="1"/>
    <xf numFmtId="172" fontId="0" fillId="0" borderId="0" xfId="0" applyNumberFormat="1" applyBorder="1"/>
    <xf numFmtId="0" fontId="0" fillId="0" borderId="0" xfId="0" applyBorder="1" applyAlignment="1">
      <alignment horizontal="center" vertical="top"/>
    </xf>
    <xf numFmtId="0" fontId="0" fillId="2" borderId="1" xfId="0" applyFill="1" applyBorder="1"/>
    <xf numFmtId="0" fontId="2" fillId="2" borderId="1" xfId="0" applyFont="1" applyFill="1" applyBorder="1" applyAlignment="1">
      <alignment horizontal="center"/>
    </xf>
    <xf numFmtId="0" fontId="6" fillId="2" borderId="2" xfId="0" applyFont="1" applyFill="1" applyBorder="1" applyAlignment="1">
      <alignment horizontal="center"/>
    </xf>
    <xf numFmtId="0" fontId="6" fillId="2" borderId="1" xfId="0" applyFont="1" applyFill="1" applyBorder="1" applyAlignment="1">
      <alignment horizontal="center" vertical="top"/>
    </xf>
    <xf numFmtId="0" fontId="6" fillId="2" borderId="2" xfId="0" applyFont="1" applyFill="1" applyBorder="1" applyAlignment="1">
      <alignment horizontal="center" vertical="top"/>
    </xf>
    <xf numFmtId="1" fontId="6" fillId="2" borderId="2" xfId="0" applyNumberFormat="1" applyFont="1" applyFill="1" applyBorder="1" applyAlignment="1">
      <alignment horizontal="center" vertical="center" wrapText="1"/>
    </xf>
    <xf numFmtId="1" fontId="6" fillId="2" borderId="3" xfId="0" applyNumberFormat="1" applyFont="1" applyFill="1" applyBorder="1" applyAlignment="1">
      <alignment horizontal="center" vertical="center" wrapText="1"/>
    </xf>
    <xf numFmtId="0" fontId="2" fillId="2" borderId="2" xfId="0" applyFont="1" applyFill="1" applyBorder="1" applyAlignment="1">
      <alignment horizontal="center"/>
    </xf>
    <xf numFmtId="0" fontId="6" fillId="0" borderId="0" xfId="0" applyFont="1"/>
    <xf numFmtId="0" fontId="0" fillId="0" borderId="14" xfId="0" applyBorder="1"/>
    <xf numFmtId="0" fontId="0" fillId="0" borderId="13" xfId="0" applyBorder="1" applyAlignment="1">
      <alignment horizontal="center"/>
    </xf>
    <xf numFmtId="0" fontId="6" fillId="30" borderId="13" xfId="0" applyFont="1" applyFill="1" applyBorder="1" applyAlignment="1">
      <alignment horizontal="center"/>
    </xf>
    <xf numFmtId="0" fontId="71" fillId="2" borderId="13" xfId="0" applyFont="1" applyFill="1" applyBorder="1" applyAlignment="1">
      <alignment horizontal="center"/>
    </xf>
    <xf numFmtId="0" fontId="0" fillId="2" borderId="0" xfId="0" applyFill="1" applyAlignment="1">
      <alignment horizontal="center"/>
    </xf>
    <xf numFmtId="0" fontId="0" fillId="0" borderId="0" xfId="0" applyAlignment="1">
      <alignment horizontal="center" vertical="top"/>
    </xf>
    <xf numFmtId="0" fontId="0" fillId="0" borderId="0" xfId="0" quotePrefix="1"/>
    <xf numFmtId="4" fontId="0" fillId="0" borderId="0" xfId="0" quotePrefix="1" applyNumberFormat="1" applyAlignment="1">
      <alignment horizontal="center"/>
    </xf>
    <xf numFmtId="4" fontId="0" fillId="0" borderId="0" xfId="0" applyNumberFormat="1" applyBorder="1" applyAlignment="1">
      <alignment horizontal="center"/>
    </xf>
    <xf numFmtId="0" fontId="2" fillId="26" borderId="13" xfId="0" applyFont="1" applyFill="1" applyBorder="1" applyAlignment="1">
      <alignment horizontal="center"/>
    </xf>
    <xf numFmtId="4" fontId="0" fillId="0" borderId="13" xfId="0" applyNumberFormat="1" applyBorder="1" applyAlignment="1">
      <alignment horizontal="center"/>
    </xf>
    <xf numFmtId="0" fontId="6" fillId="15" borderId="0" xfId="0" applyFont="1" applyFill="1"/>
    <xf numFmtId="3" fontId="0" fillId="0" borderId="0" xfId="0" applyNumberFormat="1" applyAlignment="1">
      <alignment horizontal="center"/>
    </xf>
    <xf numFmtId="0" fontId="0" fillId="0" borderId="0" xfId="0" applyBorder="1" applyAlignment="1">
      <alignment horizontal="left"/>
    </xf>
    <xf numFmtId="0" fontId="53" fillId="0" borderId="0" xfId="0" applyFont="1" applyBorder="1" applyAlignment="1">
      <alignment vertical="center" wrapText="1"/>
    </xf>
    <xf numFmtId="3" fontId="0" fillId="0" borderId="0" xfId="0" applyNumberFormat="1" applyBorder="1" applyAlignment="1">
      <alignment horizontal="center"/>
    </xf>
    <xf numFmtId="0" fontId="0" fillId="0" borderId="0" xfId="0" applyBorder="1" applyAlignment="1">
      <alignment vertical="center"/>
    </xf>
    <xf numFmtId="3" fontId="0" fillId="0" borderId="0" xfId="0" applyNumberFormat="1" applyBorder="1" applyAlignment="1">
      <alignment vertical="center"/>
    </xf>
    <xf numFmtId="0" fontId="0" fillId="0" borderId="0" xfId="0" applyBorder="1" applyAlignment="1">
      <alignment vertical="center" wrapText="1"/>
    </xf>
    <xf numFmtId="0" fontId="0" fillId="0" borderId="0" xfId="0" applyBorder="1" applyAlignment="1">
      <alignment horizontal="center" vertical="center" wrapText="1"/>
    </xf>
    <xf numFmtId="174" fontId="0" fillId="0" borderId="0" xfId="0" applyNumberFormat="1" applyBorder="1" applyAlignment="1">
      <alignment horizontal="center" vertical="center"/>
    </xf>
    <xf numFmtId="173" fontId="0" fillId="0" borderId="0" xfId="0" applyNumberFormat="1" applyBorder="1" applyAlignment="1">
      <alignment vertical="center"/>
    </xf>
    <xf numFmtId="171" fontId="0" fillId="0" borderId="0" xfId="0" applyNumberFormat="1" applyBorder="1" applyAlignment="1">
      <alignment vertical="center"/>
    </xf>
    <xf numFmtId="44" fontId="9" fillId="0" borderId="0" xfId="0" applyNumberFormat="1" applyFont="1" applyBorder="1" applyAlignment="1">
      <alignment vertical="center"/>
    </xf>
    <xf numFmtId="9" fontId="0" fillId="0" borderId="0" xfId="0" applyNumberFormat="1" applyBorder="1" applyAlignment="1">
      <alignment vertical="center" wrapText="1"/>
    </xf>
    <xf numFmtId="1" fontId="0" fillId="0" borderId="0" xfId="0" applyNumberFormat="1" applyBorder="1" applyAlignment="1">
      <alignment vertical="center" wrapText="1"/>
    </xf>
    <xf numFmtId="170" fontId="9" fillId="0" borderId="0" xfId="0" applyNumberFormat="1" applyFont="1" applyBorder="1" applyAlignment="1">
      <alignment vertical="center" wrapText="1"/>
    </xf>
    <xf numFmtId="170" fontId="0" fillId="0" borderId="0" xfId="0" applyNumberFormat="1" applyBorder="1" applyAlignment="1">
      <alignment vertical="center" wrapText="1"/>
    </xf>
    <xf numFmtId="0" fontId="9" fillId="0" borderId="0" xfId="0" applyFont="1" applyBorder="1" applyAlignment="1">
      <alignment vertical="center" wrapText="1"/>
    </xf>
    <xf numFmtId="2" fontId="9" fillId="0" borderId="0" xfId="0" applyNumberFormat="1" applyFont="1" applyBorder="1" applyAlignment="1">
      <alignment vertical="center" wrapText="1"/>
    </xf>
    <xf numFmtId="171" fontId="0" fillId="0" borderId="0" xfId="0" applyNumberFormat="1" applyBorder="1" applyAlignment="1">
      <alignment vertical="center" wrapText="1"/>
    </xf>
    <xf numFmtId="0" fontId="0" fillId="0" borderId="3" xfId="0" applyBorder="1"/>
    <xf numFmtId="0" fontId="0" fillId="0" borderId="3" xfId="0" applyBorder="1" applyAlignment="1">
      <alignment vertical="center"/>
    </xf>
    <xf numFmtId="4" fontId="0" fillId="0" borderId="13" xfId="0" quotePrefix="1" applyNumberFormat="1" applyBorder="1" applyAlignment="1">
      <alignment horizontal="center"/>
    </xf>
    <xf numFmtId="0" fontId="2" fillId="31" borderId="13" xfId="0" applyFont="1" applyFill="1" applyBorder="1" applyAlignment="1">
      <alignment horizontal="center"/>
    </xf>
    <xf numFmtId="0" fontId="2" fillId="32" borderId="13" xfId="0" applyFont="1" applyFill="1" applyBorder="1" applyAlignment="1">
      <alignment horizontal="center"/>
    </xf>
    <xf numFmtId="0" fontId="2" fillId="15" borderId="13" xfId="0" applyFont="1" applyFill="1" applyBorder="1"/>
    <xf numFmtId="0" fontId="2" fillId="15" borderId="13" xfId="0" applyFont="1" applyFill="1" applyBorder="1" applyAlignment="1">
      <alignment horizontal="center"/>
    </xf>
    <xf numFmtId="0" fontId="0" fillId="11" borderId="8" xfId="0" applyFill="1" applyBorder="1"/>
    <xf numFmtId="0" fontId="0" fillId="11" borderId="9" xfId="0" applyFill="1" applyBorder="1" applyAlignment="1">
      <alignment horizontal="center"/>
    </xf>
    <xf numFmtId="0" fontId="71" fillId="0" borderId="13" xfId="0" applyFont="1" applyBorder="1"/>
    <xf numFmtId="0" fontId="20" fillId="0" borderId="13" xfId="0" applyFont="1" applyBorder="1" applyAlignment="1">
      <alignment horizontal="center"/>
    </xf>
    <xf numFmtId="10" fontId="9" fillId="0" borderId="13" xfId="0" applyNumberFormat="1" applyFont="1" applyBorder="1" applyAlignment="1">
      <alignment horizontal="center"/>
    </xf>
    <xf numFmtId="10" fontId="23" fillId="0" borderId="13" xfId="0" applyNumberFormat="1" applyFont="1" applyBorder="1" applyAlignment="1">
      <alignment horizontal="center"/>
    </xf>
    <xf numFmtId="0" fontId="69" fillId="25" borderId="16" xfId="28">
      <alignment horizontal="right" vertical="top"/>
    </xf>
    <xf numFmtId="0" fontId="26" fillId="2" borderId="0" xfId="22" applyFont="1" applyBorder="1" applyAlignment="1">
      <alignment vertical="center" wrapText="1"/>
    </xf>
    <xf numFmtId="0" fontId="60" fillId="2" borderId="0" xfId="22" quotePrefix="1" applyFont="1" applyBorder="1" applyAlignment="1">
      <alignment vertical="center" wrapText="1"/>
    </xf>
    <xf numFmtId="0" fontId="0" fillId="0" borderId="0" xfId="0" applyAlignment="1">
      <alignment horizontal="right"/>
    </xf>
    <xf numFmtId="0" fontId="5" fillId="12" borderId="13" xfId="0" applyFont="1" applyFill="1" applyBorder="1"/>
    <xf numFmtId="0" fontId="0" fillId="2" borderId="5" xfId="0" applyFill="1" applyBorder="1" applyAlignment="1">
      <alignment horizontal="center"/>
    </xf>
    <xf numFmtId="0" fontId="0" fillId="0" borderId="13" xfId="0" applyBorder="1" applyAlignment="1">
      <alignment horizontal="center" vertical="center"/>
    </xf>
    <xf numFmtId="0" fontId="2" fillId="26" borderId="21" xfId="0" applyFont="1" applyFill="1" applyBorder="1" applyAlignment="1">
      <alignment horizontal="left"/>
    </xf>
    <xf numFmtId="168" fontId="0" fillId="12" borderId="13" xfId="0" applyNumberFormat="1" applyFill="1" applyBorder="1" applyAlignment="1">
      <alignment horizontal="center" vertical="center"/>
    </xf>
    <xf numFmtId="0" fontId="0" fillId="12" borderId="13" xfId="0" applyFill="1" applyBorder="1" applyAlignment="1">
      <alignment horizontal="center" vertical="center"/>
    </xf>
    <xf numFmtId="10" fontId="0" fillId="12" borderId="13" xfId="0" applyNumberFormat="1" applyFill="1" applyBorder="1"/>
    <xf numFmtId="10" fontId="0" fillId="11" borderId="13" xfId="0" applyNumberFormat="1" applyFill="1" applyBorder="1"/>
    <xf numFmtId="1" fontId="71" fillId="2" borderId="13" xfId="0" applyNumberFormat="1" applyFont="1" applyFill="1" applyBorder="1"/>
    <xf numFmtId="0" fontId="71" fillId="2" borderId="13" xfId="0" applyFont="1" applyFill="1" applyBorder="1"/>
    <xf numFmtId="9" fontId="0" fillId="0" borderId="13" xfId="0" applyNumberFormat="1" applyBorder="1" applyAlignment="1">
      <alignment horizontal="center" vertical="center"/>
    </xf>
    <xf numFmtId="9" fontId="0" fillId="12" borderId="13" xfId="0" applyNumberFormat="1" applyFill="1" applyBorder="1"/>
    <xf numFmtId="0" fontId="0" fillId="12" borderId="13" xfId="0" applyFill="1" applyBorder="1" applyAlignment="1">
      <alignment horizontal="left"/>
    </xf>
    <xf numFmtId="0" fontId="0" fillId="12" borderId="13" xfId="0" applyFill="1" applyBorder="1" applyAlignment="1">
      <alignment horizontal="left" vertical="center"/>
    </xf>
    <xf numFmtId="1" fontId="0" fillId="2" borderId="13" xfId="0" applyNumberFormat="1" applyFill="1" applyBorder="1" applyAlignment="1">
      <alignment horizontal="center"/>
    </xf>
    <xf numFmtId="0" fontId="0" fillId="0" borderId="1" xfId="0" applyBorder="1" applyAlignment="1">
      <alignment horizontal="center" vertical="center"/>
    </xf>
    <xf numFmtId="168" fontId="0" fillId="12" borderId="1" xfId="0" applyNumberFormat="1" applyFill="1" applyBorder="1" applyAlignment="1">
      <alignment horizontal="center" vertical="center"/>
    </xf>
    <xf numFmtId="0" fontId="5" fillId="11" borderId="13" xfId="0" applyFont="1" applyFill="1" applyBorder="1"/>
    <xf numFmtId="3" fontId="0" fillId="0" borderId="0" xfId="0" quotePrefix="1" applyNumberFormat="1" applyAlignment="1">
      <alignment horizontal="center"/>
    </xf>
    <xf numFmtId="0" fontId="5" fillId="0" borderId="2" xfId="0" applyFont="1" applyBorder="1" applyAlignment="1">
      <alignment horizontal="left" vertical="top"/>
    </xf>
    <xf numFmtId="0" fontId="5" fillId="0" borderId="2" xfId="0" applyFont="1" applyBorder="1" applyAlignment="1">
      <alignment horizontal="left" vertical="top" wrapText="1"/>
    </xf>
    <xf numFmtId="0" fontId="2" fillId="26" borderId="9" xfId="0" applyFont="1" applyFill="1" applyBorder="1" applyAlignment="1">
      <alignment horizontal="left" vertical="top"/>
    </xf>
    <xf numFmtId="0" fontId="2" fillId="26" borderId="2" xfId="0" applyFont="1" applyFill="1" applyBorder="1" applyAlignment="1">
      <alignment horizontal="left" vertical="top"/>
    </xf>
    <xf numFmtId="0" fontId="2" fillId="26" borderId="2" xfId="0" applyFont="1" applyFill="1" applyBorder="1" applyAlignment="1">
      <alignment horizontal="left" vertical="top" wrapText="1"/>
    </xf>
    <xf numFmtId="9" fontId="0" fillId="12" borderId="1" xfId="0" applyNumberFormat="1" applyFill="1" applyBorder="1"/>
    <xf numFmtId="0" fontId="71" fillId="0" borderId="0" xfId="0" applyFont="1" applyBorder="1"/>
    <xf numFmtId="1" fontId="71" fillId="2" borderId="13" xfId="0" applyNumberFormat="1" applyFont="1" applyFill="1" applyBorder="1" applyAlignment="1">
      <alignment horizontal="center"/>
    </xf>
    <xf numFmtId="7" fontId="71" fillId="2" borderId="13" xfId="0" applyNumberFormat="1" applyFont="1" applyFill="1" applyBorder="1" applyAlignment="1">
      <alignment horizontal="center"/>
    </xf>
    <xf numFmtId="9" fontId="71" fillId="2" borderId="13" xfId="0" applyNumberFormat="1" applyFont="1" applyFill="1" applyBorder="1" applyAlignment="1">
      <alignment horizontal="center"/>
    </xf>
    <xf numFmtId="0" fontId="0" fillId="2" borderId="8" xfId="0" applyFill="1" applyBorder="1"/>
    <xf numFmtId="0" fontId="5" fillId="33" borderId="5" xfId="0" applyFont="1" applyFill="1" applyBorder="1" applyAlignment="1">
      <alignment horizontal="center" vertical="top" wrapText="1"/>
    </xf>
    <xf numFmtId="169" fontId="0" fillId="0" borderId="0" xfId="0" applyNumberFormat="1" applyAlignment="1">
      <alignment horizontal="center"/>
    </xf>
    <xf numFmtId="169" fontId="0" fillId="0" borderId="0" xfId="0" quotePrefix="1" applyNumberFormat="1" applyAlignment="1">
      <alignment horizontal="center"/>
    </xf>
    <xf numFmtId="0" fontId="0" fillId="33" borderId="4" xfId="0" applyFill="1" applyBorder="1" applyAlignment="1">
      <alignment horizontal="center" vertical="top" wrapText="1"/>
    </xf>
    <xf numFmtId="0" fontId="5" fillId="35" borderId="1" xfId="0" applyFont="1" applyFill="1" applyBorder="1" applyAlignment="1">
      <alignment horizontal="center" vertical="top" wrapText="1"/>
    </xf>
    <xf numFmtId="0" fontId="0" fillId="35" borderId="3" xfId="0" applyFill="1" applyBorder="1" applyAlignment="1">
      <alignment horizontal="center" vertical="top" wrapText="1"/>
    </xf>
    <xf numFmtId="0" fontId="0" fillId="17" borderId="0" xfId="0" applyFill="1" applyAlignment="1">
      <alignment horizontal="center"/>
    </xf>
    <xf numFmtId="0" fontId="6" fillId="30" borderId="15" xfId="0" applyFont="1" applyFill="1" applyBorder="1" applyAlignment="1">
      <alignment horizontal="center"/>
    </xf>
    <xf numFmtId="7" fontId="71" fillId="2" borderId="15" xfId="0" applyNumberFormat="1" applyFont="1" applyFill="1" applyBorder="1" applyAlignment="1">
      <alignment horizontal="center"/>
    </xf>
    <xf numFmtId="0" fontId="0" fillId="2" borderId="0" xfId="0" applyFill="1" applyBorder="1" applyAlignment="1">
      <alignment horizontal="left"/>
    </xf>
    <xf numFmtId="0" fontId="6" fillId="30" borderId="25" xfId="0" applyFont="1" applyFill="1" applyBorder="1" applyAlignment="1">
      <alignment horizontal="center"/>
    </xf>
    <xf numFmtId="9" fontId="71" fillId="2" borderId="25" xfId="0" applyNumberFormat="1" applyFont="1" applyFill="1" applyBorder="1" applyAlignment="1">
      <alignment horizontal="center"/>
    </xf>
    <xf numFmtId="0" fontId="0" fillId="2" borderId="26" xfId="0" applyFill="1" applyBorder="1"/>
    <xf numFmtId="0" fontId="6" fillId="30" borderId="28" xfId="0" applyFont="1" applyFill="1" applyBorder="1" applyAlignment="1">
      <alignment horizontal="center"/>
    </xf>
    <xf numFmtId="7" fontId="71" fillId="2" borderId="28" xfId="0" applyNumberFormat="1" applyFont="1" applyFill="1" applyBorder="1" applyAlignment="1">
      <alignment horizontal="center"/>
    </xf>
    <xf numFmtId="0" fontId="0" fillId="2" borderId="29" xfId="0" applyFill="1" applyBorder="1"/>
    <xf numFmtId="0" fontId="0" fillId="2" borderId="26" xfId="0" applyFill="1" applyBorder="1" applyAlignment="1">
      <alignment horizontal="center"/>
    </xf>
    <xf numFmtId="169" fontId="0" fillId="0" borderId="26" xfId="0" quotePrefix="1" applyNumberFormat="1" applyBorder="1" applyAlignment="1">
      <alignment horizontal="center"/>
    </xf>
    <xf numFmtId="169" fontId="0" fillId="0" borderId="26" xfId="0" applyNumberFormat="1" applyBorder="1" applyAlignment="1">
      <alignment horizontal="center"/>
    </xf>
    <xf numFmtId="169" fontId="0" fillId="0" borderId="0" xfId="0" applyNumberFormat="1" applyBorder="1" applyAlignment="1">
      <alignment horizontal="center"/>
    </xf>
    <xf numFmtId="4" fontId="0" fillId="0" borderId="26" xfId="0" applyNumberFormat="1" applyBorder="1" applyAlignment="1">
      <alignment horizontal="center"/>
    </xf>
    <xf numFmtId="0" fontId="0" fillId="0" borderId="26" xfId="0" applyBorder="1" applyAlignment="1">
      <alignment horizontal="left"/>
    </xf>
    <xf numFmtId="3" fontId="0" fillId="0" borderId="0" xfId="0" quotePrefix="1" applyNumberFormat="1" applyBorder="1" applyAlignment="1">
      <alignment horizontal="center"/>
    </xf>
    <xf numFmtId="0" fontId="0" fillId="15" borderId="0" xfId="0" applyFill="1" applyBorder="1" applyAlignment="1">
      <alignment horizontal="left"/>
    </xf>
    <xf numFmtId="0" fontId="0" fillId="0" borderId="29" xfId="0" applyBorder="1" applyAlignment="1">
      <alignment horizontal="left"/>
    </xf>
    <xf numFmtId="3" fontId="0" fillId="0" borderId="29" xfId="0" quotePrefix="1" applyNumberFormat="1" applyBorder="1" applyAlignment="1">
      <alignment horizontal="center"/>
    </xf>
    <xf numFmtId="3" fontId="0" fillId="0" borderId="29" xfId="0" applyNumberFormat="1" applyBorder="1" applyAlignment="1">
      <alignment horizontal="center"/>
    </xf>
    <xf numFmtId="3" fontId="9" fillId="0" borderId="0" xfId="0" applyNumberFormat="1" applyFont="1" applyBorder="1" applyAlignment="1">
      <alignment horizontal="center"/>
    </xf>
    <xf numFmtId="0" fontId="5" fillId="29" borderId="27" xfId="0" applyFont="1" applyFill="1" applyBorder="1" applyAlignment="1">
      <alignment horizontal="center" vertical="top" wrapText="1"/>
    </xf>
    <xf numFmtId="0" fontId="0" fillId="29" borderId="24" xfId="0" applyFill="1" applyBorder="1" applyAlignment="1">
      <alignment horizontal="center" vertical="center"/>
    </xf>
    <xf numFmtId="168" fontId="0" fillId="17" borderId="26" xfId="0" applyNumberFormat="1" applyFill="1" applyBorder="1" applyAlignment="1">
      <alignment horizontal="center"/>
    </xf>
    <xf numFmtId="0" fontId="0" fillId="0" borderId="27" xfId="0" applyBorder="1" applyAlignment="1">
      <alignment horizontal="left"/>
    </xf>
    <xf numFmtId="171" fontId="0" fillId="0" borderId="0" xfId="0" applyNumberFormat="1" applyBorder="1" applyAlignment="1">
      <alignment horizontal="left" vertical="center" wrapText="1"/>
    </xf>
    <xf numFmtId="170" fontId="0" fillId="0" borderId="0" xfId="0" applyNumberFormat="1" applyBorder="1" applyAlignment="1">
      <alignment vertical="center"/>
    </xf>
    <xf numFmtId="170" fontId="0" fillId="0" borderId="0" xfId="0" applyNumberFormat="1" applyBorder="1" applyAlignment="1">
      <alignment horizontal="left" vertical="center" wrapText="1"/>
    </xf>
    <xf numFmtId="2" fontId="0" fillId="0" borderId="0" xfId="0" applyNumberFormat="1" applyBorder="1" applyAlignment="1">
      <alignment vertical="center"/>
    </xf>
    <xf numFmtId="2" fontId="0" fillId="0" borderId="0" xfId="0" applyNumberFormat="1" applyBorder="1" applyAlignment="1">
      <alignment horizontal="left" vertical="center" wrapText="1"/>
    </xf>
    <xf numFmtId="171" fontId="9" fillId="0" borderId="0" xfId="0" applyNumberFormat="1" applyFont="1" applyAlignment="1">
      <alignment horizontal="left" vertical="center" wrapText="1"/>
    </xf>
    <xf numFmtId="171" fontId="9" fillId="0" borderId="0" xfId="0" applyNumberFormat="1" applyFont="1" applyBorder="1" applyAlignment="1">
      <alignment horizontal="left" vertical="center" wrapText="1"/>
    </xf>
    <xf numFmtId="2" fontId="9" fillId="0" borderId="0" xfId="0" applyNumberFormat="1" applyFont="1" applyAlignment="1">
      <alignment horizontal="left" vertical="center" wrapText="1"/>
    </xf>
    <xf numFmtId="0" fontId="2" fillId="28" borderId="9" xfId="0" applyFont="1" applyFill="1" applyBorder="1"/>
    <xf numFmtId="0" fontId="2" fillId="28" borderId="2" xfId="0" applyFont="1" applyFill="1" applyBorder="1"/>
    <xf numFmtId="0" fontId="2" fillId="28" borderId="8" xfId="0" applyFont="1" applyFill="1" applyBorder="1"/>
    <xf numFmtId="0" fontId="37" fillId="23" borderId="0" xfId="24" applyFont="1" applyBorder="1" applyAlignment="1">
      <alignment vertical="center" wrapText="1"/>
    </xf>
    <xf numFmtId="0" fontId="37" fillId="23" borderId="9" xfId="24" applyFont="1" applyBorder="1" applyAlignment="1">
      <alignment vertical="center" wrapText="1"/>
    </xf>
    <xf numFmtId="9" fontId="40" fillId="2" borderId="20" xfId="18" applyNumberFormat="1" applyBorder="1" applyAlignment="1">
      <alignment horizontal="center" vertical="center"/>
    </xf>
    <xf numFmtId="0" fontId="37" fillId="9" borderId="6" xfId="17" applyFont="1" applyBorder="1" applyAlignment="1">
      <alignment vertical="center"/>
    </xf>
    <xf numFmtId="0" fontId="37" fillId="9" borderId="8" xfId="17" applyFont="1" applyBorder="1" applyAlignment="1">
      <alignment vertical="center"/>
    </xf>
    <xf numFmtId="0" fontId="37" fillId="9" borderId="10" xfId="17" applyFont="1" applyBorder="1" applyAlignment="1">
      <alignment vertical="center"/>
    </xf>
    <xf numFmtId="0" fontId="37" fillId="9" borderId="6" xfId="17" applyFont="1" applyBorder="1" applyAlignment="1"/>
    <xf numFmtId="0" fontId="37" fillId="9" borderId="10" xfId="17" applyFont="1" applyBorder="1" applyAlignment="1"/>
    <xf numFmtId="0" fontId="37" fillId="9" borderId="7" xfId="17" applyFont="1" applyBorder="1" applyAlignment="1">
      <alignment horizontal="left"/>
    </xf>
    <xf numFmtId="0" fontId="37" fillId="9" borderId="9" xfId="17" applyFont="1" applyBorder="1" applyAlignment="1"/>
    <xf numFmtId="0" fontId="37" fillId="9" borderId="11" xfId="17" applyFont="1" applyBorder="1" applyAlignment="1"/>
    <xf numFmtId="0" fontId="26" fillId="2" borderId="4" xfId="22" applyFont="1" applyBorder="1" applyAlignment="1">
      <alignment vertical="center" wrapText="1"/>
    </xf>
    <xf numFmtId="0" fontId="37" fillId="23" borderId="5" xfId="24" applyFont="1" applyBorder="1" applyAlignment="1">
      <alignment vertical="center" wrapText="1"/>
    </xf>
    <xf numFmtId="0" fontId="37" fillId="23" borderId="7" xfId="24" applyFont="1" applyBorder="1" applyAlignment="1">
      <alignment vertical="center" wrapText="1"/>
    </xf>
    <xf numFmtId="0" fontId="33" fillId="23" borderId="9" xfId="24" applyFont="1" applyBorder="1" applyAlignment="1">
      <alignment vertical="top" wrapText="1"/>
    </xf>
    <xf numFmtId="0" fontId="33" fillId="23" borderId="11" xfId="24" applyFont="1" applyBorder="1" applyAlignment="1">
      <alignment vertical="top" wrapText="1"/>
    </xf>
    <xf numFmtId="0" fontId="0" fillId="15" borderId="0" xfId="0" applyFill="1" applyAlignment="1">
      <alignment horizontal="left"/>
    </xf>
    <xf numFmtId="173" fontId="0" fillId="0" borderId="13" xfId="0" applyNumberFormat="1" applyBorder="1" applyAlignment="1">
      <alignment horizontal="right" vertical="center"/>
    </xf>
    <xf numFmtId="173" fontId="0" fillId="0" borderId="0" xfId="0" applyNumberFormat="1" applyBorder="1" applyAlignment="1">
      <alignment horizontal="right" vertical="center"/>
    </xf>
    <xf numFmtId="173" fontId="0" fillId="0" borderId="0" xfId="0" applyNumberFormat="1" applyBorder="1" applyAlignment="1">
      <alignment horizontal="right"/>
    </xf>
    <xf numFmtId="173" fontId="76" fillId="0" borderId="13" xfId="0" applyNumberFormat="1" applyFont="1" applyBorder="1" applyAlignment="1">
      <alignment horizontal="right"/>
    </xf>
    <xf numFmtId="167" fontId="0" fillId="2" borderId="13" xfId="0" applyNumberFormat="1" applyFill="1" applyBorder="1" applyAlignment="1">
      <alignment horizontal="right"/>
    </xf>
    <xf numFmtId="167" fontId="0" fillId="2" borderId="1" xfId="0" applyNumberFormat="1" applyFill="1" applyBorder="1" applyAlignment="1">
      <alignment horizontal="right"/>
    </xf>
    <xf numFmtId="0" fontId="0" fillId="11" borderId="13" xfId="0" applyFill="1" applyBorder="1" applyAlignment="1">
      <alignment horizontal="left"/>
    </xf>
    <xf numFmtId="0" fontId="0" fillId="17" borderId="0" xfId="0" applyFill="1" applyBorder="1" applyAlignment="1">
      <alignment horizontal="center" vertical="center" wrapText="1"/>
    </xf>
    <xf numFmtId="0" fontId="0" fillId="2" borderId="0" xfId="0" applyFill="1" applyAlignment="1">
      <alignment horizontal="left"/>
    </xf>
    <xf numFmtId="2" fontId="5" fillId="0" borderId="13" xfId="0" applyNumberFormat="1" applyFont="1" applyBorder="1" applyAlignment="1">
      <alignment horizontal="right"/>
    </xf>
    <xf numFmtId="168" fontId="0" fillId="17" borderId="26" xfId="0" quotePrefix="1" applyNumberFormat="1" applyFill="1" applyBorder="1" applyAlignment="1">
      <alignment horizontal="center"/>
    </xf>
    <xf numFmtId="176" fontId="0" fillId="0" borderId="0" xfId="0" applyNumberFormat="1" applyAlignment="1">
      <alignment horizontal="center"/>
    </xf>
    <xf numFmtId="0" fontId="71" fillId="0" borderId="13" xfId="0" applyFont="1" applyBorder="1" applyAlignment="1">
      <alignment horizontal="center"/>
    </xf>
    <xf numFmtId="0" fontId="51" fillId="2" borderId="13" xfId="0" applyFont="1" applyFill="1" applyBorder="1" applyAlignment="1">
      <alignment vertical="center" wrapText="1"/>
    </xf>
    <xf numFmtId="14" fontId="44" fillId="2" borderId="13" xfId="0" applyNumberFormat="1" applyFont="1" applyFill="1" applyBorder="1" applyAlignment="1">
      <alignment horizontal="right"/>
    </xf>
    <xf numFmtId="0" fontId="44" fillId="2" borderId="13" xfId="0" applyFont="1" applyFill="1" applyBorder="1" applyAlignment="1">
      <alignment horizontal="right"/>
    </xf>
    <xf numFmtId="4" fontId="0" fillId="2" borderId="0" xfId="0" applyNumberFormat="1" applyFill="1" applyBorder="1" applyAlignment="1">
      <alignment horizontal="center"/>
    </xf>
    <xf numFmtId="0" fontId="0" fillId="2" borderId="13" xfId="0" quotePrefix="1" applyFill="1" applyBorder="1" applyAlignment="1">
      <alignment horizontal="center"/>
    </xf>
    <xf numFmtId="4" fontId="0" fillId="2" borderId="13" xfId="0" applyNumberFormat="1" applyFill="1" applyBorder="1" applyAlignment="1">
      <alignment horizontal="center"/>
    </xf>
    <xf numFmtId="0" fontId="0" fillId="2" borderId="13" xfId="0" applyFill="1" applyBorder="1" applyAlignment="1">
      <alignment horizontal="center"/>
    </xf>
    <xf numFmtId="0" fontId="0" fillId="2" borderId="0" xfId="0" applyFill="1" applyAlignment="1">
      <alignment vertical="top"/>
    </xf>
    <xf numFmtId="0" fontId="0" fillId="2" borderId="0" xfId="0" applyFill="1" applyAlignment="1">
      <alignment vertical="top" wrapText="1"/>
    </xf>
    <xf numFmtId="0" fontId="53" fillId="2" borderId="0" xfId="0" applyFont="1" applyFill="1" applyAlignment="1">
      <alignment vertical="top" wrapText="1"/>
    </xf>
    <xf numFmtId="0" fontId="0" fillId="2" borderId="0" xfId="0" applyFill="1" applyBorder="1" applyAlignment="1">
      <alignment vertical="top"/>
    </xf>
    <xf numFmtId="170" fontId="0" fillId="2" borderId="0" xfId="0" applyNumberFormat="1" applyFill="1" applyBorder="1" applyAlignment="1">
      <alignment vertical="top"/>
    </xf>
    <xf numFmtId="170" fontId="0" fillId="2" borderId="0" xfId="0" applyNumberFormat="1" applyFill="1" applyBorder="1" applyAlignment="1">
      <alignment horizontal="left" vertical="top"/>
    </xf>
    <xf numFmtId="170" fontId="0" fillId="2" borderId="0" xfId="0" applyNumberFormat="1" applyFill="1"/>
    <xf numFmtId="0" fontId="0" fillId="2" borderId="0" xfId="0" applyFill="1" applyAlignment="1">
      <alignment horizontal="center" vertical="top" wrapText="1"/>
    </xf>
    <xf numFmtId="0" fontId="0" fillId="2" borderId="0" xfId="0" applyFill="1" applyBorder="1" applyAlignment="1">
      <alignment horizontal="center" vertical="top"/>
    </xf>
    <xf numFmtId="0" fontId="0" fillId="2" borderId="0" xfId="0" applyFill="1" applyBorder="1" applyAlignment="1">
      <alignment vertical="top" wrapText="1"/>
    </xf>
    <xf numFmtId="0" fontId="0" fillId="2" borderId="0" xfId="0" applyFill="1" applyBorder="1" applyAlignment="1">
      <alignment horizontal="left" vertical="top"/>
    </xf>
    <xf numFmtId="0" fontId="22" fillId="2" borderId="0" xfId="0" applyFont="1" applyFill="1" applyAlignment="1">
      <alignment vertical="top"/>
    </xf>
    <xf numFmtId="0" fontId="0" fillId="2" borderId="0" xfId="0" applyFill="1" applyAlignment="1">
      <alignment horizontal="center" vertical="top"/>
    </xf>
    <xf numFmtId="0" fontId="0" fillId="2" borderId="0" xfId="0" applyFill="1" applyAlignment="1">
      <alignment horizontal="right"/>
    </xf>
    <xf numFmtId="173" fontId="0" fillId="2" borderId="0" xfId="0" applyNumberFormat="1" applyFill="1" applyBorder="1" applyAlignment="1">
      <alignment horizontal="right"/>
    </xf>
    <xf numFmtId="0" fontId="0" fillId="2" borderId="0" xfId="0" applyFill="1" applyAlignment="1">
      <alignment horizontal="center" wrapText="1"/>
    </xf>
    <xf numFmtId="0" fontId="18" fillId="2" borderId="0" xfId="15" applyFill="1"/>
    <xf numFmtId="1" fontId="27" fillId="15" borderId="13" xfId="0" applyNumberFormat="1" applyFont="1" applyFill="1" applyBorder="1" applyAlignment="1">
      <alignment horizontal="center"/>
    </xf>
    <xf numFmtId="0" fontId="27" fillId="15" borderId="13" xfId="0" applyFont="1" applyFill="1" applyBorder="1" applyAlignment="1">
      <alignment horizontal="center"/>
    </xf>
    <xf numFmtId="11" fontId="0" fillId="2" borderId="0" xfId="0" applyNumberFormat="1" applyFill="1"/>
    <xf numFmtId="172" fontId="0" fillId="0" borderId="0" xfId="0" applyNumberFormat="1" applyBorder="1" applyAlignment="1">
      <alignment vertical="center"/>
    </xf>
    <xf numFmtId="0" fontId="8" fillId="36" borderId="13" xfId="0" applyFont="1" applyFill="1" applyBorder="1" applyAlignment="1">
      <alignment horizontal="center" vertical="center"/>
    </xf>
    <xf numFmtId="0" fontId="8" fillId="30" borderId="13" xfId="0" applyFont="1" applyFill="1" applyBorder="1" applyAlignment="1">
      <alignment horizontal="center" vertical="center"/>
    </xf>
    <xf numFmtId="0" fontId="44" fillId="2" borderId="0" xfId="16" applyFont="1" applyFill="1" applyAlignment="1"/>
    <xf numFmtId="0" fontId="8" fillId="15" borderId="13" xfId="0" applyFont="1" applyFill="1" applyBorder="1" applyAlignment="1">
      <alignment horizontal="left" vertical="center"/>
    </xf>
    <xf numFmtId="0" fontId="8" fillId="15" borderId="13" xfId="0" applyFont="1" applyFill="1" applyBorder="1" applyAlignment="1">
      <alignment horizontal="center" vertical="center"/>
    </xf>
    <xf numFmtId="0" fontId="7" fillId="25" borderId="15" xfId="0" applyFont="1" applyFill="1" applyBorder="1" applyAlignment="1">
      <alignment vertical="center"/>
    </xf>
    <xf numFmtId="0" fontId="1" fillId="21" borderId="0" xfId="16" applyFont="1" applyAlignment="1"/>
    <xf numFmtId="0" fontId="70" fillId="15" borderId="16" xfId="29" applyFill="1" applyBorder="1" applyAlignment="1"/>
    <xf numFmtId="0" fontId="70" fillId="15" borderId="16" xfId="29" applyFill="1" applyBorder="1" applyAlignment="1">
      <alignment vertical="center"/>
    </xf>
    <xf numFmtId="0" fontId="70" fillId="15" borderId="15" xfId="29" applyFill="1" applyBorder="1" applyAlignment="1">
      <alignment vertical="center"/>
    </xf>
    <xf numFmtId="0" fontId="1" fillId="25" borderId="14" xfId="16" applyFont="1" applyFill="1" applyBorder="1" applyAlignment="1"/>
    <xf numFmtId="0" fontId="1" fillId="2" borderId="6" xfId="16" applyFont="1" applyFill="1" applyBorder="1" applyAlignment="1"/>
    <xf numFmtId="0" fontId="1" fillId="2" borderId="5" xfId="16" applyFont="1" applyFill="1" applyBorder="1" applyAlignment="1"/>
    <xf numFmtId="0" fontId="1" fillId="2" borderId="7" xfId="16" applyFont="1" applyFill="1" applyBorder="1" applyAlignment="1"/>
    <xf numFmtId="0" fontId="1" fillId="2" borderId="8" xfId="16" applyFont="1" applyFill="1" applyBorder="1" applyAlignment="1"/>
    <xf numFmtId="0" fontId="1" fillId="2" borderId="9" xfId="16" applyFont="1" applyFill="1" applyBorder="1" applyAlignment="1"/>
    <xf numFmtId="0" fontId="5" fillId="2" borderId="8" xfId="16" applyFont="1" applyFill="1" applyBorder="1" applyAlignment="1"/>
    <xf numFmtId="0" fontId="1" fillId="2" borderId="8" xfId="16" applyFont="1" applyFill="1" applyBorder="1" applyAlignment="1">
      <alignment vertical="center"/>
    </xf>
    <xf numFmtId="0" fontId="1" fillId="2" borderId="10" xfId="16" applyFont="1" applyFill="1" applyBorder="1" applyAlignment="1">
      <alignment vertical="center"/>
    </xf>
    <xf numFmtId="0" fontId="1" fillId="2" borderId="4" xfId="16" applyFont="1" applyFill="1" applyBorder="1" applyAlignment="1">
      <alignment vertical="center" wrapText="1"/>
    </xf>
    <xf numFmtId="0" fontId="1" fillId="2" borderId="4" xfId="16" applyFont="1" applyFill="1" applyBorder="1" applyAlignment="1">
      <alignment vertical="center"/>
    </xf>
    <xf numFmtId="0" fontId="1" fillId="2" borderId="11" xfId="16" applyFont="1" applyFill="1" applyBorder="1" applyAlignment="1"/>
    <xf numFmtId="0" fontId="1" fillId="2" borderId="0" xfId="16" applyFont="1" applyFill="1" applyAlignment="1"/>
    <xf numFmtId="0" fontId="8" fillId="15" borderId="13" xfId="0" applyFont="1" applyFill="1" applyBorder="1" applyAlignment="1">
      <alignment vertical="center"/>
    </xf>
    <xf numFmtId="0" fontId="44" fillId="2" borderId="0" xfId="16" applyFont="1" applyFill="1" applyAlignment="1">
      <alignment vertical="center"/>
    </xf>
    <xf numFmtId="0" fontId="44" fillId="2" borderId="0" xfId="16" applyFont="1" applyFill="1" applyAlignment="1">
      <alignment vertical="center" wrapText="1"/>
    </xf>
    <xf numFmtId="0" fontId="44" fillId="2" borderId="8" xfId="16" applyFont="1" applyFill="1" applyBorder="1" applyAlignment="1"/>
    <xf numFmtId="0" fontId="44" fillId="2" borderId="9" xfId="16" applyFont="1" applyFill="1" applyBorder="1" applyAlignment="1"/>
    <xf numFmtId="0" fontId="44" fillId="2" borderId="10" xfId="16" applyFont="1" applyFill="1" applyBorder="1" applyAlignment="1"/>
    <xf numFmtId="0" fontId="44" fillId="2" borderId="4" xfId="16" applyFont="1" applyFill="1" applyBorder="1" applyAlignment="1"/>
    <xf numFmtId="0" fontId="44" fillId="2" borderId="11" xfId="16" applyFont="1" applyFill="1" applyBorder="1" applyAlignment="1"/>
    <xf numFmtId="0" fontId="44" fillId="0" borderId="34" xfId="16" applyFont="1" applyFill="1" applyBorder="1" applyAlignment="1">
      <alignment vertical="center"/>
    </xf>
    <xf numFmtId="0" fontId="44" fillId="0" borderId="34" xfId="0" applyFont="1" applyBorder="1" applyAlignment="1">
      <alignment horizontal="center" vertical="center"/>
    </xf>
    <xf numFmtId="4" fontId="24" fillId="39" borderId="34" xfId="0" applyNumberFormat="1" applyFont="1" applyFill="1" applyBorder="1" applyAlignment="1">
      <alignment horizontal="center" vertical="center"/>
    </xf>
    <xf numFmtId="0" fontId="44" fillId="0" borderId="34" xfId="0" applyFont="1" applyBorder="1" applyAlignment="1">
      <alignment vertical="center"/>
    </xf>
    <xf numFmtId="0" fontId="44" fillId="37" borderId="34" xfId="0" applyFont="1" applyFill="1" applyBorder="1" applyAlignment="1">
      <alignment horizontal="center" vertical="center"/>
    </xf>
    <xf numFmtId="177" fontId="44" fillId="39" borderId="34" xfId="0" applyNumberFormat="1" applyFont="1" applyFill="1" applyBorder="1" applyAlignment="1">
      <alignment horizontal="center" vertical="center"/>
    </xf>
    <xf numFmtId="1" fontId="44" fillId="37" borderId="34" xfId="0" applyNumberFormat="1" applyFont="1" applyFill="1" applyBorder="1" applyAlignment="1">
      <alignment horizontal="center" vertical="center"/>
    </xf>
    <xf numFmtId="1" fontId="51" fillId="37" borderId="34" xfId="0" applyNumberFormat="1" applyFont="1" applyFill="1" applyBorder="1" applyAlignment="1">
      <alignment horizontal="center" vertical="center"/>
    </xf>
    <xf numFmtId="177" fontId="51" fillId="39" borderId="34" xfId="0" applyNumberFormat="1" applyFont="1" applyFill="1" applyBorder="1" applyAlignment="1">
      <alignment horizontal="center" vertical="center"/>
    </xf>
    <xf numFmtId="4" fontId="78" fillId="39" borderId="34" xfId="0" applyNumberFormat="1" applyFont="1" applyFill="1" applyBorder="1" applyAlignment="1">
      <alignment horizontal="center" vertical="center"/>
    </xf>
    <xf numFmtId="0" fontId="44" fillId="0" borderId="35" xfId="16" applyFont="1" applyFill="1" applyBorder="1" applyAlignment="1">
      <alignment vertical="center"/>
    </xf>
    <xf numFmtId="0" fontId="44" fillId="0" borderId="35" xfId="0" applyFont="1" applyBorder="1" applyAlignment="1">
      <alignment horizontal="center" vertical="center"/>
    </xf>
    <xf numFmtId="0" fontId="44" fillId="0" borderId="35" xfId="0" applyFont="1" applyBorder="1" applyAlignment="1">
      <alignment vertical="center"/>
    </xf>
    <xf numFmtId="0" fontId="44" fillId="37" borderId="35" xfId="0" applyFont="1" applyFill="1" applyBorder="1" applyAlignment="1">
      <alignment horizontal="center" vertical="center"/>
    </xf>
    <xf numFmtId="177" fontId="44" fillId="39" borderId="35" xfId="0" applyNumberFormat="1" applyFont="1" applyFill="1" applyBorder="1" applyAlignment="1">
      <alignment horizontal="center" vertical="center"/>
    </xf>
    <xf numFmtId="170" fontId="0" fillId="0" borderId="0" xfId="0" applyNumberFormat="1" applyAlignment="1">
      <alignment vertical="center"/>
    </xf>
    <xf numFmtId="0" fontId="44" fillId="38" borderId="35" xfId="0" applyFont="1" applyFill="1" applyBorder="1" applyAlignment="1">
      <alignment horizontal="center" vertical="center"/>
    </xf>
    <xf numFmtId="0" fontId="44" fillId="38" borderId="34" xfId="0" applyFont="1" applyFill="1" applyBorder="1" applyAlignment="1">
      <alignment horizontal="center" vertical="center"/>
    </xf>
    <xf numFmtId="0" fontId="44" fillId="39" borderId="34" xfId="0" applyFont="1" applyFill="1" applyBorder="1" applyAlignment="1">
      <alignment horizontal="center" vertical="center"/>
    </xf>
    <xf numFmtId="4" fontId="44" fillId="39" borderId="35" xfId="0" applyNumberFormat="1" applyFont="1" applyFill="1" applyBorder="1" applyAlignment="1">
      <alignment horizontal="center" vertical="center"/>
    </xf>
    <xf numFmtId="4" fontId="44" fillId="39" borderId="34" xfId="0" applyNumberFormat="1" applyFont="1" applyFill="1" applyBorder="1" applyAlignment="1">
      <alignment horizontal="center" vertical="center"/>
    </xf>
    <xf numFmtId="2" fontId="44" fillId="38" borderId="34" xfId="0" applyNumberFormat="1" applyFont="1" applyFill="1" applyBorder="1" applyAlignment="1">
      <alignment horizontal="center" vertical="center"/>
    </xf>
    <xf numFmtId="0" fontId="30" fillId="22" borderId="6" xfId="27" applyFont="1" applyBorder="1" applyAlignment="1">
      <alignment horizontal="center" vertical="top"/>
    </xf>
    <xf numFmtId="0" fontId="32" fillId="2" borderId="6" xfId="24" applyFill="1" applyBorder="1" applyAlignment="1">
      <alignment horizontal="center" vertical="top" wrapText="1"/>
    </xf>
    <xf numFmtId="0" fontId="32" fillId="2" borderId="5" xfId="24" applyFill="1" applyBorder="1" applyAlignment="1">
      <alignment horizontal="center" vertical="top" wrapText="1"/>
    </xf>
    <xf numFmtId="0" fontId="32" fillId="2" borderId="7" xfId="24" applyFill="1" applyBorder="1" applyAlignment="1">
      <alignment horizontal="center" vertical="top" wrapText="1"/>
    </xf>
    <xf numFmtId="0" fontId="32" fillId="2" borderId="8" xfId="24" applyFill="1" applyBorder="1" applyAlignment="1">
      <alignment horizontal="center" vertical="top" wrapText="1"/>
    </xf>
    <xf numFmtId="0" fontId="32" fillId="2" borderId="0" xfId="24" applyFill="1" applyBorder="1" applyAlignment="1">
      <alignment horizontal="center" vertical="top" wrapText="1"/>
    </xf>
    <xf numFmtId="0" fontId="32" fillId="2" borderId="9" xfId="24" applyFill="1" applyBorder="1" applyAlignment="1">
      <alignment horizontal="center" vertical="top" wrapText="1"/>
    </xf>
    <xf numFmtId="0" fontId="32" fillId="2" borderId="10" xfId="24" applyFill="1" applyBorder="1" applyAlignment="1">
      <alignment horizontal="center" vertical="top" wrapText="1"/>
    </xf>
    <xf numFmtId="0" fontId="32" fillId="2" borderId="4" xfId="24" applyFill="1" applyBorder="1" applyAlignment="1">
      <alignment horizontal="center" vertical="top" wrapText="1"/>
    </xf>
    <xf numFmtId="0" fontId="32" fillId="2" borderId="11" xfId="24" applyFill="1" applyBorder="1" applyAlignment="1">
      <alignment horizontal="center" vertical="top" wrapText="1"/>
    </xf>
    <xf numFmtId="0" fontId="0" fillId="2" borderId="8" xfId="16" applyFont="1" applyFill="1" applyBorder="1" applyAlignment="1">
      <alignment horizontal="center" vertical="top"/>
    </xf>
    <xf numFmtId="0" fontId="0" fillId="2" borderId="0" xfId="16" applyFont="1" applyFill="1" applyAlignment="1"/>
    <xf numFmtId="0" fontId="0" fillId="2" borderId="0" xfId="16" applyFont="1" applyFill="1" applyAlignment="1">
      <alignment horizontal="right"/>
    </xf>
    <xf numFmtId="0" fontId="0" fillId="2" borderId="0" xfId="16" applyFont="1" applyFill="1" applyAlignment="1">
      <alignment horizontal="left"/>
    </xf>
    <xf numFmtId="0" fontId="0" fillId="2" borderId="9" xfId="16" applyFont="1" applyFill="1" applyBorder="1" applyAlignment="1"/>
    <xf numFmtId="9" fontId="40" fillId="2" borderId="36" xfId="18" applyNumberFormat="1" applyBorder="1" applyAlignment="1">
      <alignment horizontal="center" vertical="center"/>
    </xf>
    <xf numFmtId="9" fontId="40" fillId="2" borderId="17" xfId="18" applyNumberFormat="1" applyAlignment="1">
      <alignment horizontal="center" vertical="center"/>
    </xf>
    <xf numFmtId="0" fontId="32" fillId="23" borderId="8" xfId="24" applyBorder="1">
      <alignment horizontal="left" vertical="top" wrapText="1"/>
    </xf>
    <xf numFmtId="0" fontId="66" fillId="18" borderId="0" xfId="25">
      <alignment horizontal="left" vertical="center" wrapText="1"/>
    </xf>
    <xf numFmtId="0" fontId="62" fillId="19" borderId="0" xfId="26">
      <alignment horizontal="left" vertical="center"/>
    </xf>
    <xf numFmtId="0" fontId="48" fillId="20" borderId="0" xfId="0" applyFont="1" applyFill="1" applyAlignment="1">
      <alignment horizontal="left" vertical="top" wrapText="1"/>
    </xf>
    <xf numFmtId="0" fontId="49" fillId="17" borderId="14" xfId="0" applyFont="1" applyFill="1" applyBorder="1" applyAlignment="1">
      <alignment horizontal="left" vertical="center"/>
    </xf>
    <xf numFmtId="0" fontId="49" fillId="17" borderId="15" xfId="0" applyFont="1" applyFill="1" applyBorder="1" applyAlignment="1">
      <alignment horizontal="left" vertical="center"/>
    </xf>
    <xf numFmtId="0" fontId="43" fillId="2" borderId="0" xfId="0" applyFont="1" applyFill="1" applyAlignment="1">
      <alignment horizontal="left" vertical="center" wrapText="1"/>
    </xf>
    <xf numFmtId="0" fontId="45" fillId="20" borderId="0" xfId="0" applyFont="1" applyFill="1" applyAlignment="1">
      <alignment horizontal="center"/>
    </xf>
    <xf numFmtId="0" fontId="41" fillId="22" borderId="5" xfId="27" applyBorder="1">
      <alignment horizontal="left" vertical="center"/>
    </xf>
    <xf numFmtId="0" fontId="41" fillId="22" borderId="7" xfId="27" applyBorder="1">
      <alignment horizontal="left" vertical="center"/>
    </xf>
    <xf numFmtId="0" fontId="37" fillId="23" borderId="0" xfId="24" applyFont="1" applyBorder="1" applyAlignment="1">
      <alignment horizontal="left" vertical="center" wrapText="1"/>
    </xf>
    <xf numFmtId="0" fontId="7" fillId="25" borderId="16" xfId="0" applyFont="1" applyFill="1" applyBorder="1" applyAlignment="1">
      <alignment horizontal="left" vertical="center"/>
    </xf>
    <xf numFmtId="0" fontId="51" fillId="2" borderId="34" xfId="0" applyFont="1" applyFill="1" applyBorder="1" applyAlignment="1">
      <alignment horizontal="left" vertical="center"/>
    </xf>
    <xf numFmtId="177" fontId="44" fillId="2" borderId="34" xfId="16" applyNumberFormat="1" applyFont="1" applyFill="1" applyBorder="1" applyAlignment="1">
      <alignment horizontal="center"/>
    </xf>
    <xf numFmtId="0" fontId="44" fillId="2" borderId="34" xfId="16" applyFont="1" applyFill="1" applyBorder="1" applyAlignment="1">
      <alignment horizontal="center"/>
    </xf>
    <xf numFmtId="4" fontId="44" fillId="0" borderId="34" xfId="0" applyNumberFormat="1" applyFont="1" applyBorder="1" applyAlignment="1">
      <alignment horizontal="center" vertical="center"/>
    </xf>
    <xf numFmtId="0" fontId="44" fillId="2" borderId="34" xfId="16" applyFont="1" applyFill="1" applyBorder="1" applyAlignment="1">
      <alignment horizontal="left"/>
    </xf>
    <xf numFmtId="0" fontId="26" fillId="2" borderId="0" xfId="16" applyFont="1" applyFill="1" applyAlignment="1">
      <alignment horizontal="left" vertical="top" wrapText="1"/>
    </xf>
    <xf numFmtId="3" fontId="42" fillId="9" borderId="14" xfId="17" applyNumberFormat="1" applyFont="1" applyBorder="1" applyAlignment="1">
      <alignment horizontal="center" vertical="center"/>
    </xf>
    <xf numFmtId="3" fontId="42" fillId="9" borderId="16" xfId="17" applyNumberFormat="1" applyFont="1" applyBorder="1" applyAlignment="1">
      <alignment horizontal="center" vertical="center"/>
    </xf>
    <xf numFmtId="3" fontId="42" fillId="9" borderId="15" xfId="17" applyNumberFormat="1" applyFont="1" applyBorder="1" applyAlignment="1">
      <alignment horizontal="center" vertical="center"/>
    </xf>
    <xf numFmtId="49" fontId="40" fillId="2" borderId="17" xfId="18" applyNumberFormat="1" applyAlignment="1">
      <alignment horizontal="left" vertical="center"/>
    </xf>
    <xf numFmtId="49" fontId="40" fillId="2" borderId="33" xfId="18" applyNumberFormat="1" applyBorder="1" applyAlignment="1">
      <alignment horizontal="left" vertical="center"/>
    </xf>
    <xf numFmtId="0" fontId="68" fillId="25" borderId="16" xfId="20" applyBorder="1" applyAlignment="1">
      <alignment horizontal="left"/>
    </xf>
    <xf numFmtId="0" fontId="68" fillId="25" borderId="15" xfId="20" applyBorder="1" applyAlignment="1">
      <alignment horizontal="left"/>
    </xf>
    <xf numFmtId="0" fontId="41" fillId="22" borderId="16" xfId="27" applyBorder="1">
      <alignment horizontal="left" vertical="center"/>
    </xf>
    <xf numFmtId="0" fontId="41" fillId="22" borderId="15" xfId="27" applyBorder="1">
      <alignment horizontal="left" vertical="center"/>
    </xf>
    <xf numFmtId="49" fontId="40" fillId="2" borderId="32" xfId="18" applyNumberFormat="1" applyBorder="1" applyAlignment="1">
      <alignment horizontal="left" vertical="center"/>
    </xf>
    <xf numFmtId="0" fontId="70" fillId="24" borderId="16" xfId="29" applyBorder="1" applyAlignment="1">
      <alignment horizontal="left" vertical="center"/>
    </xf>
    <xf numFmtId="0" fontId="67" fillId="22" borderId="16" xfId="23" applyBorder="1" applyAlignment="1">
      <alignment horizontal="left" vertical="center"/>
    </xf>
    <xf numFmtId="0" fontId="39" fillId="10" borderId="5" xfId="19" applyFont="1" applyBorder="1" applyAlignment="1">
      <alignment horizontal="left"/>
    </xf>
    <xf numFmtId="0" fontId="32" fillId="23" borderId="16" xfId="24" applyBorder="1" applyAlignment="1">
      <alignment horizontal="left" vertical="top" wrapText="1"/>
    </xf>
    <xf numFmtId="0" fontId="39" fillId="10" borderId="14" xfId="19" applyFont="1" applyBorder="1" applyAlignment="1">
      <alignment horizontal="left"/>
    </xf>
    <xf numFmtId="0" fontId="39" fillId="10" borderId="16" xfId="19" applyFont="1" applyBorder="1" applyAlignment="1">
      <alignment horizontal="left"/>
    </xf>
    <xf numFmtId="0" fontId="39" fillId="10" borderId="15" xfId="19" applyFont="1" applyBorder="1" applyAlignment="1">
      <alignment horizontal="left"/>
    </xf>
    <xf numFmtId="0" fontId="40" fillId="2" borderId="14" xfId="18" applyNumberFormat="1" applyBorder="1" applyAlignment="1">
      <alignment horizontal="left"/>
    </xf>
    <xf numFmtId="0" fontId="40" fillId="2" borderId="16" xfId="18" applyNumberFormat="1" applyBorder="1" applyAlignment="1">
      <alignment horizontal="left"/>
    </xf>
    <xf numFmtId="0" fontId="40" fillId="2" borderId="15" xfId="18" applyNumberFormat="1" applyBorder="1" applyAlignment="1">
      <alignment horizontal="left"/>
    </xf>
    <xf numFmtId="0" fontId="33" fillId="23" borderId="0" xfId="24" applyFont="1" applyBorder="1" applyAlignment="1">
      <alignment horizontal="left" vertical="top" wrapText="1"/>
    </xf>
    <xf numFmtId="0" fontId="33" fillId="23" borderId="4" xfId="24" applyFont="1" applyBorder="1" applyAlignment="1">
      <alignment horizontal="left" vertical="top" wrapText="1"/>
    </xf>
    <xf numFmtId="0" fontId="32" fillId="23" borderId="0" xfId="24" applyBorder="1" applyAlignment="1">
      <alignment horizontal="left" vertical="center" wrapText="1"/>
    </xf>
    <xf numFmtId="0" fontId="37" fillId="23" borderId="5" xfId="24" applyFont="1" applyBorder="1" applyAlignment="1">
      <alignment horizontal="left" vertical="center" wrapText="1"/>
    </xf>
    <xf numFmtId="0" fontId="37" fillId="23" borderId="7" xfId="24" applyFont="1" applyBorder="1" applyAlignment="1">
      <alignment horizontal="left" vertical="center" wrapText="1"/>
    </xf>
    <xf numFmtId="0" fontId="37" fillId="23" borderId="9" xfId="24" applyFont="1" applyBorder="1" applyAlignment="1">
      <alignment horizontal="left" vertical="center" wrapText="1"/>
    </xf>
    <xf numFmtId="0" fontId="37" fillId="23" borderId="0" xfId="24" applyFont="1" applyAlignment="1">
      <alignment horizontal="left" vertical="center" wrapText="1"/>
    </xf>
    <xf numFmtId="0" fontId="37" fillId="23" borderId="4" xfId="24" applyFont="1" applyBorder="1" applyAlignment="1">
      <alignment horizontal="left" vertical="center" wrapText="1"/>
    </xf>
    <xf numFmtId="0" fontId="37" fillId="23" borderId="11" xfId="24" applyFont="1" applyBorder="1" applyAlignment="1">
      <alignment horizontal="left" vertical="center" wrapText="1"/>
    </xf>
    <xf numFmtId="0" fontId="33" fillId="23" borderId="9" xfId="24" applyFont="1" applyBorder="1" applyAlignment="1">
      <alignment horizontal="left" vertical="top" wrapText="1"/>
    </xf>
    <xf numFmtId="0" fontId="33" fillId="23" borderId="11" xfId="24" applyFont="1" applyBorder="1" applyAlignment="1">
      <alignment horizontal="left" vertical="top" wrapText="1"/>
    </xf>
    <xf numFmtId="49" fontId="40" fillId="2" borderId="36" xfId="18" applyNumberFormat="1" applyBorder="1" applyAlignment="1">
      <alignment horizontal="left" vertical="center"/>
    </xf>
    <xf numFmtId="0" fontId="39" fillId="10" borderId="6" xfId="19" applyFont="1" applyBorder="1" applyAlignment="1">
      <alignment horizontal="left"/>
    </xf>
    <xf numFmtId="0" fontId="39" fillId="10" borderId="13" xfId="19" applyFont="1" applyBorder="1" applyAlignment="1">
      <alignment horizontal="left"/>
    </xf>
    <xf numFmtId="49" fontId="40" fillId="2" borderId="18" xfId="18" applyNumberFormat="1" applyBorder="1" applyAlignment="1">
      <alignment horizontal="left" vertical="center"/>
    </xf>
    <xf numFmtId="49" fontId="40" fillId="2" borderId="19" xfId="18" applyNumberFormat="1" applyBorder="1" applyAlignment="1">
      <alignment horizontal="left" vertical="center"/>
    </xf>
    <xf numFmtId="0" fontId="37" fillId="23" borderId="0" xfId="24" applyFont="1" applyBorder="1" applyAlignment="1">
      <alignment horizontal="left" vertical="top" wrapText="1"/>
    </xf>
    <xf numFmtId="0" fontId="37" fillId="23" borderId="9" xfId="24" applyFont="1" applyBorder="1" applyAlignment="1">
      <alignment horizontal="left" vertical="top" wrapText="1"/>
    </xf>
    <xf numFmtId="0" fontId="43" fillId="20" borderId="0" xfId="0" quotePrefix="1" applyFont="1" applyFill="1" applyAlignment="1">
      <alignment horizontal="left" vertical="top" wrapText="1"/>
    </xf>
    <xf numFmtId="0" fontId="47" fillId="20" borderId="0" xfId="0" quotePrefix="1" applyFont="1" applyFill="1" applyAlignment="1">
      <alignment horizontal="left" vertical="top" wrapText="1"/>
    </xf>
    <xf numFmtId="0" fontId="52" fillId="0" borderId="0" xfId="0" applyFont="1" applyAlignment="1">
      <alignment horizontal="left" vertical="top" wrapText="1"/>
    </xf>
    <xf numFmtId="0" fontId="43" fillId="2" borderId="0" xfId="0" applyFont="1" applyFill="1" applyAlignment="1">
      <alignment horizontal="left" vertical="top" wrapText="1"/>
    </xf>
    <xf numFmtId="0" fontId="46" fillId="19" borderId="0" xfId="26" applyFont="1">
      <alignment horizontal="left" vertical="center"/>
    </xf>
    <xf numFmtId="0" fontId="48" fillId="20" borderId="0" xfId="0" applyFont="1" applyFill="1" applyAlignment="1">
      <alignment vertical="top" wrapText="1"/>
    </xf>
    <xf numFmtId="0" fontId="48" fillId="20" borderId="0" xfId="0" applyFont="1" applyFill="1" applyAlignment="1">
      <alignment vertical="top"/>
    </xf>
    <xf numFmtId="0" fontId="46" fillId="19" borderId="0" xfId="26" quotePrefix="1" applyFont="1">
      <alignment horizontal="left" vertical="center"/>
    </xf>
    <xf numFmtId="0" fontId="57" fillId="18" borderId="0" xfId="25" applyFont="1">
      <alignment horizontal="left" vertical="center" wrapText="1"/>
    </xf>
    <xf numFmtId="0" fontId="43" fillId="20" borderId="0" xfId="0" applyFont="1" applyFill="1" applyAlignment="1">
      <alignment horizontal="left" vertical="top" wrapText="1"/>
    </xf>
    <xf numFmtId="0" fontId="65" fillId="18" borderId="0" xfId="25" applyFont="1">
      <alignment horizontal="left" vertical="center" wrapText="1"/>
    </xf>
    <xf numFmtId="0" fontId="63" fillId="20" borderId="0" xfId="15" applyFont="1" applyFill="1" applyAlignment="1">
      <alignment horizontal="left" vertical="top" wrapText="1"/>
    </xf>
    <xf numFmtId="0" fontId="44" fillId="2" borderId="0" xfId="0" applyFont="1" applyFill="1" applyAlignment="1">
      <alignment horizontal="left" vertical="top" wrapText="1"/>
    </xf>
    <xf numFmtId="0" fontId="64" fillId="17" borderId="14" xfId="0" applyFont="1" applyFill="1" applyBorder="1" applyAlignment="1">
      <alignment horizontal="left" vertical="center"/>
    </xf>
    <xf numFmtId="0" fontId="64" fillId="17" borderId="15" xfId="0" applyFont="1" applyFill="1" applyBorder="1" applyAlignment="1">
      <alignment horizontal="left" vertical="center"/>
    </xf>
    <xf numFmtId="0" fontId="0" fillId="29" borderId="9" xfId="0" applyFill="1" applyBorder="1" applyAlignment="1">
      <alignment horizontal="center"/>
    </xf>
    <xf numFmtId="0" fontId="0" fillId="29" borderId="11" xfId="0" applyFill="1" applyBorder="1" applyAlignment="1">
      <alignment horizontal="center"/>
    </xf>
    <xf numFmtId="0" fontId="5" fillId="29" borderId="6" xfId="0" applyFont="1" applyFill="1" applyBorder="1" applyAlignment="1">
      <alignment horizontal="center" vertical="top" wrapText="1"/>
    </xf>
    <xf numFmtId="0" fontId="5" fillId="29" borderId="7" xfId="0" applyFont="1" applyFill="1" applyBorder="1" applyAlignment="1">
      <alignment horizontal="center" vertical="top" wrapText="1"/>
    </xf>
    <xf numFmtId="0" fontId="0" fillId="29" borderId="10" xfId="0" applyFill="1" applyBorder="1" applyAlignment="1">
      <alignment horizontal="center" vertical="top" wrapText="1"/>
    </xf>
    <xf numFmtId="0" fontId="0" fillId="29" borderId="11" xfId="0" applyFill="1" applyBorder="1" applyAlignment="1">
      <alignment horizontal="center" vertical="top" wrapText="1"/>
    </xf>
    <xf numFmtId="0" fontId="2" fillId="31" borderId="10" xfId="0" applyFont="1" applyFill="1" applyBorder="1" applyAlignment="1">
      <alignment horizontal="center"/>
    </xf>
    <xf numFmtId="0" fontId="2" fillId="31" borderId="11" xfId="0" applyFont="1" applyFill="1" applyBorder="1" applyAlignment="1">
      <alignment horizontal="center"/>
    </xf>
    <xf numFmtId="0" fontId="2" fillId="32" borderId="10" xfId="0" applyFont="1" applyFill="1" applyBorder="1" applyAlignment="1">
      <alignment horizontal="center"/>
    </xf>
    <xf numFmtId="0" fontId="2" fillId="32" borderId="11" xfId="0" applyFont="1" applyFill="1" applyBorder="1" applyAlignment="1">
      <alignment horizontal="center"/>
    </xf>
    <xf numFmtId="0" fontId="0" fillId="29" borderId="4" xfId="0" applyFill="1" applyBorder="1" applyAlignment="1">
      <alignment horizontal="center" vertical="top" wrapText="1"/>
    </xf>
    <xf numFmtId="0" fontId="5" fillId="14" borderId="6" xfId="0" applyFont="1" applyFill="1" applyBorder="1" applyAlignment="1">
      <alignment horizontal="center" vertical="top" wrapText="1"/>
    </xf>
    <xf numFmtId="0" fontId="5" fillId="14" borderId="7" xfId="0" applyFont="1" applyFill="1" applyBorder="1" applyAlignment="1">
      <alignment horizontal="center" vertical="top" wrapText="1"/>
    </xf>
    <xf numFmtId="0" fontId="0" fillId="14" borderId="10" xfId="0" applyFill="1" applyBorder="1" applyAlignment="1">
      <alignment horizontal="center" vertical="top" wrapText="1"/>
    </xf>
    <xf numFmtId="0" fontId="0" fillId="14" borderId="11" xfId="0" applyFill="1" applyBorder="1" applyAlignment="1">
      <alignment horizontal="center" vertical="top" wrapText="1"/>
    </xf>
    <xf numFmtId="0" fontId="5" fillId="29" borderId="5" xfId="0" applyFont="1" applyFill="1" applyBorder="1" applyAlignment="1">
      <alignment horizontal="center" vertical="top" wrapText="1"/>
    </xf>
    <xf numFmtId="0" fontId="5" fillId="14" borderId="5" xfId="0" applyFont="1" applyFill="1" applyBorder="1" applyAlignment="1">
      <alignment horizontal="center" vertical="top" wrapText="1"/>
    </xf>
    <xf numFmtId="0" fontId="0" fillId="14" borderId="4" xfId="0" applyFill="1" applyBorder="1" applyAlignment="1">
      <alignment horizontal="center" vertical="top" wrapText="1"/>
    </xf>
    <xf numFmtId="0" fontId="28" fillId="34" borderId="5" xfId="0" applyFont="1" applyFill="1" applyBorder="1" applyAlignment="1">
      <alignment horizontal="center" vertical="top"/>
    </xf>
    <xf numFmtId="0" fontId="28" fillId="34" borderId="27" xfId="0" applyFont="1" applyFill="1" applyBorder="1" applyAlignment="1">
      <alignment horizontal="center" vertical="top"/>
    </xf>
    <xf numFmtId="0" fontId="0" fillId="34" borderId="4" xfId="0" applyFill="1" applyBorder="1" applyAlignment="1">
      <alignment horizontal="center" vertical="top" wrapText="1"/>
    </xf>
    <xf numFmtId="0" fontId="5" fillId="34" borderId="4" xfId="0" applyFont="1" applyFill="1" applyBorder="1" applyAlignment="1">
      <alignment horizontal="center" vertical="top" wrapText="1"/>
    </xf>
    <xf numFmtId="0" fontId="5" fillId="34" borderId="24" xfId="0" applyFont="1" applyFill="1" applyBorder="1" applyAlignment="1">
      <alignment horizontal="center" vertical="top" wrapText="1"/>
    </xf>
    <xf numFmtId="0" fontId="5" fillId="33" borderId="5" xfId="0" applyFont="1" applyFill="1" applyBorder="1" applyAlignment="1">
      <alignment horizontal="center" vertical="top" wrapText="1"/>
    </xf>
    <xf numFmtId="0" fontId="5" fillId="33" borderId="7" xfId="0" applyFont="1" applyFill="1" applyBorder="1" applyAlignment="1">
      <alignment horizontal="center" vertical="top" wrapText="1"/>
    </xf>
    <xf numFmtId="0" fontId="0" fillId="33" borderId="4" xfId="0" applyFill="1" applyBorder="1" applyAlignment="1">
      <alignment horizontal="center" vertical="top" wrapText="1"/>
    </xf>
    <xf numFmtId="0" fontId="5" fillId="33" borderId="4" xfId="0" applyFont="1" applyFill="1" applyBorder="1" applyAlignment="1">
      <alignment horizontal="center" vertical="top" wrapText="1"/>
    </xf>
    <xf numFmtId="0" fontId="5" fillId="33" borderId="11" xfId="0" applyFont="1" applyFill="1" applyBorder="1" applyAlignment="1">
      <alignment horizontal="center" vertical="top" wrapText="1"/>
    </xf>
    <xf numFmtId="0" fontId="5" fillId="33" borderId="1" xfId="0" applyFont="1" applyFill="1" applyBorder="1" applyAlignment="1">
      <alignment horizontal="center" vertical="top" wrapText="1"/>
    </xf>
    <xf numFmtId="0" fontId="5" fillId="33" borderId="3" xfId="0" applyFont="1" applyFill="1" applyBorder="1" applyAlignment="1">
      <alignment horizontal="center" vertical="top" wrapText="1"/>
    </xf>
    <xf numFmtId="0" fontId="28" fillId="14" borderId="30" xfId="0" applyFont="1" applyFill="1" applyBorder="1" applyAlignment="1">
      <alignment horizontal="center" vertical="top"/>
    </xf>
    <xf numFmtId="0" fontId="28" fillId="14" borderId="5" xfId="0" applyFont="1" applyFill="1" applyBorder="1" applyAlignment="1">
      <alignment horizontal="center" vertical="top"/>
    </xf>
    <xf numFmtId="0" fontId="28" fillId="14" borderId="27" xfId="0" applyFont="1" applyFill="1" applyBorder="1" applyAlignment="1">
      <alignment horizontal="center" vertical="top"/>
    </xf>
    <xf numFmtId="0" fontId="0" fillId="14" borderId="31" xfId="0" applyFill="1" applyBorder="1" applyAlignment="1">
      <alignment horizontal="center" vertical="top" wrapText="1"/>
    </xf>
    <xf numFmtId="0" fontId="5" fillId="14" borderId="4" xfId="0" applyFont="1" applyFill="1" applyBorder="1" applyAlignment="1">
      <alignment horizontal="center" vertical="top" wrapText="1"/>
    </xf>
    <xf numFmtId="0" fontId="5" fillId="14" borderId="24" xfId="0" applyFont="1" applyFill="1" applyBorder="1" applyAlignment="1">
      <alignment horizontal="center" vertical="top" wrapText="1"/>
    </xf>
    <xf numFmtId="0" fontId="28" fillId="34" borderId="30" xfId="0" applyFont="1" applyFill="1" applyBorder="1" applyAlignment="1">
      <alignment horizontal="center" vertical="top"/>
    </xf>
    <xf numFmtId="0" fontId="0" fillId="34" borderId="31" xfId="0" applyFill="1" applyBorder="1" applyAlignment="1">
      <alignment horizontal="center" vertical="top" wrapText="1"/>
    </xf>
    <xf numFmtId="0" fontId="0" fillId="34" borderId="31" xfId="0" applyFill="1" applyBorder="1" applyAlignment="1">
      <alignment horizontal="center" vertical="top"/>
    </xf>
    <xf numFmtId="0" fontId="0" fillId="34" borderId="4" xfId="0" applyFill="1" applyBorder="1" applyAlignment="1">
      <alignment horizontal="center" vertical="top"/>
    </xf>
    <xf numFmtId="0" fontId="0" fillId="34" borderId="24" xfId="0" applyFill="1" applyBorder="1" applyAlignment="1">
      <alignment horizontal="center" vertical="top"/>
    </xf>
    <xf numFmtId="0" fontId="0" fillId="14" borderId="4" xfId="0" applyFill="1" applyBorder="1" applyAlignment="1">
      <alignment horizontal="center" vertical="top"/>
    </xf>
    <xf numFmtId="0" fontId="0" fillId="14" borderId="24" xfId="0" applyFill="1" applyBorder="1" applyAlignment="1">
      <alignment horizontal="center" vertical="top"/>
    </xf>
    <xf numFmtId="0" fontId="0" fillId="35" borderId="4" xfId="0" applyFill="1" applyBorder="1" applyAlignment="1">
      <alignment horizontal="center" vertical="top" wrapText="1"/>
    </xf>
    <xf numFmtId="0" fontId="5" fillId="35" borderId="4" xfId="0" applyFont="1" applyFill="1" applyBorder="1" applyAlignment="1">
      <alignment horizontal="center" vertical="top" wrapText="1"/>
    </xf>
    <xf numFmtId="0" fontId="5" fillId="35" borderId="11" xfId="0" applyFont="1" applyFill="1" applyBorder="1" applyAlignment="1">
      <alignment horizontal="center" vertical="top" wrapText="1"/>
    </xf>
    <xf numFmtId="0" fontId="5" fillId="35" borderId="1" xfId="0" applyFont="1" applyFill="1" applyBorder="1" applyAlignment="1">
      <alignment horizontal="center" vertical="top" wrapText="1"/>
    </xf>
    <xf numFmtId="0" fontId="5" fillId="35" borderId="3" xfId="0" applyFont="1" applyFill="1" applyBorder="1" applyAlignment="1">
      <alignment horizontal="center" vertical="top" wrapText="1"/>
    </xf>
    <xf numFmtId="0" fontId="0" fillId="35" borderId="6" xfId="0" applyFill="1" applyBorder="1" applyAlignment="1">
      <alignment horizontal="center" vertical="top" wrapText="1"/>
    </xf>
    <xf numFmtId="0" fontId="0" fillId="35" borderId="7" xfId="0" applyFill="1" applyBorder="1" applyAlignment="1">
      <alignment horizontal="center" vertical="top" wrapText="1"/>
    </xf>
    <xf numFmtId="0" fontId="0" fillId="35" borderId="10" xfId="0" applyFill="1" applyBorder="1" applyAlignment="1">
      <alignment horizontal="center" vertical="top" wrapText="1"/>
    </xf>
    <xf numFmtId="0" fontId="0" fillId="35" borderId="11" xfId="0" applyFill="1" applyBorder="1" applyAlignment="1">
      <alignment horizontal="center" vertical="top" wrapText="1"/>
    </xf>
    <xf numFmtId="0" fontId="5" fillId="35" borderId="5" xfId="0" applyFont="1" applyFill="1" applyBorder="1" applyAlignment="1">
      <alignment horizontal="center" vertical="top" wrapText="1"/>
    </xf>
    <xf numFmtId="0" fontId="5" fillId="35" borderId="5" xfId="0" applyFont="1" applyFill="1" applyBorder="1" applyAlignment="1">
      <alignment horizontal="center" vertical="top"/>
    </xf>
    <xf numFmtId="0" fontId="5" fillId="35" borderId="7" xfId="0" applyFont="1" applyFill="1" applyBorder="1" applyAlignment="1">
      <alignment horizontal="center" vertical="top"/>
    </xf>
    <xf numFmtId="0" fontId="0" fillId="29" borderId="7" xfId="0" applyFill="1" applyBorder="1" applyAlignment="1">
      <alignment horizontal="center" vertical="top"/>
    </xf>
    <xf numFmtId="0" fontId="5" fillId="35" borderId="6" xfId="0" applyFont="1" applyFill="1" applyBorder="1" applyAlignment="1">
      <alignment horizontal="center" vertical="top" wrapText="1"/>
    </xf>
    <xf numFmtId="0" fontId="5" fillId="35" borderId="27" xfId="0" applyFont="1" applyFill="1" applyBorder="1" applyAlignment="1">
      <alignment horizontal="center" vertical="top" wrapText="1"/>
    </xf>
    <xf numFmtId="0" fontId="5" fillId="35" borderId="24" xfId="0" applyFont="1" applyFill="1" applyBorder="1" applyAlignment="1">
      <alignment horizontal="center" vertical="top" wrapText="1"/>
    </xf>
    <xf numFmtId="0" fontId="5" fillId="33" borderId="6" xfId="0" applyFont="1" applyFill="1" applyBorder="1" applyAlignment="1">
      <alignment horizontal="center" vertical="top" wrapText="1"/>
    </xf>
    <xf numFmtId="0" fontId="0" fillId="33" borderId="10" xfId="0" applyFill="1" applyBorder="1" applyAlignment="1">
      <alignment horizontal="center" vertical="top" wrapText="1"/>
    </xf>
    <xf numFmtId="0" fontId="0" fillId="33" borderId="11" xfId="0" applyFill="1" applyBorder="1" applyAlignment="1">
      <alignment horizontal="center" vertical="top" wrapText="1"/>
    </xf>
    <xf numFmtId="0" fontId="5" fillId="33" borderId="27" xfId="0" applyFont="1" applyFill="1" applyBorder="1" applyAlignment="1">
      <alignment horizontal="center" vertical="top" wrapText="1"/>
    </xf>
    <xf numFmtId="0" fontId="0" fillId="33" borderId="24" xfId="0" applyFill="1" applyBorder="1" applyAlignment="1">
      <alignment horizontal="center" vertical="top" wrapText="1"/>
    </xf>
    <xf numFmtId="0" fontId="23" fillId="16" borderId="14" xfId="0" applyFont="1" applyFill="1" applyBorder="1" applyAlignment="1">
      <alignment horizontal="center" vertical="center" wrapText="1"/>
    </xf>
    <xf numFmtId="0" fontId="23" fillId="16" borderId="16" xfId="0" applyFont="1" applyFill="1" applyBorder="1" applyAlignment="1">
      <alignment horizontal="center" vertical="center" wrapText="1"/>
    </xf>
    <xf numFmtId="0" fontId="23" fillId="16" borderId="15" xfId="0" applyFont="1" applyFill="1" applyBorder="1" applyAlignment="1">
      <alignment horizontal="center" vertical="center" wrapText="1"/>
    </xf>
    <xf numFmtId="0" fontId="5" fillId="16" borderId="6" xfId="0" applyFont="1" applyFill="1" applyBorder="1" applyAlignment="1">
      <alignment horizontal="center" vertical="top" wrapText="1"/>
    </xf>
    <xf numFmtId="0" fontId="5" fillId="16" borderId="7" xfId="0" applyFont="1" applyFill="1" applyBorder="1" applyAlignment="1">
      <alignment horizontal="center" vertical="top" wrapText="1"/>
    </xf>
    <xf numFmtId="0" fontId="5" fillId="16" borderId="5" xfId="0" applyFont="1" applyFill="1" applyBorder="1" applyAlignment="1">
      <alignment horizontal="center" vertical="top" wrapText="1"/>
    </xf>
    <xf numFmtId="0" fontId="5" fillId="16" borderId="8" xfId="0" applyFont="1" applyFill="1" applyBorder="1" applyAlignment="1">
      <alignment horizontal="center" vertical="top" wrapText="1"/>
    </xf>
    <xf numFmtId="0" fontId="5" fillId="16" borderId="0" xfId="0" applyFont="1" applyFill="1" applyBorder="1" applyAlignment="1">
      <alignment horizontal="center" vertical="top" wrapText="1"/>
    </xf>
    <xf numFmtId="0" fontId="5" fillId="16" borderId="9" xfId="0" applyFont="1" applyFill="1" applyBorder="1" applyAlignment="1">
      <alignment horizontal="center" vertical="top" wrapText="1"/>
    </xf>
    <xf numFmtId="0" fontId="5" fillId="16" borderId="5" xfId="0" applyFont="1" applyFill="1" applyBorder="1" applyAlignment="1">
      <alignment horizontal="center" vertical="top"/>
    </xf>
    <xf numFmtId="0" fontId="5" fillId="16" borderId="7" xfId="0" applyFont="1" applyFill="1" applyBorder="1" applyAlignment="1">
      <alignment horizontal="center" vertical="top"/>
    </xf>
    <xf numFmtId="0" fontId="19" fillId="2" borderId="13" xfId="0" applyFont="1" applyFill="1" applyBorder="1" applyAlignment="1">
      <alignment horizontal="right"/>
    </xf>
    <xf numFmtId="0" fontId="5" fillId="16" borderId="13" xfId="0" applyFont="1" applyFill="1" applyBorder="1" applyAlignment="1">
      <alignment horizontal="center" vertical="top" wrapText="1"/>
    </xf>
    <xf numFmtId="0" fontId="5" fillId="16" borderId="14" xfId="0" applyFont="1" applyFill="1" applyBorder="1" applyAlignment="1">
      <alignment horizontal="center" vertical="top"/>
    </xf>
    <xf numFmtId="0" fontId="5" fillId="16" borderId="13" xfId="0" applyFont="1" applyFill="1" applyBorder="1" applyAlignment="1">
      <alignment horizontal="center" vertical="top"/>
    </xf>
    <xf numFmtId="0" fontId="0" fillId="16" borderId="13" xfId="0" applyFill="1" applyBorder="1" applyAlignment="1">
      <alignment horizontal="center" vertical="top" wrapText="1"/>
    </xf>
    <xf numFmtId="0" fontId="0" fillId="16" borderId="13" xfId="0" applyFill="1" applyBorder="1" applyAlignment="1">
      <alignment horizontal="center" vertical="top"/>
    </xf>
    <xf numFmtId="0" fontId="0" fillId="16" borderId="6" xfId="0" applyFill="1" applyBorder="1" applyAlignment="1">
      <alignment horizontal="center" vertical="top" wrapText="1"/>
    </xf>
    <xf numFmtId="0" fontId="0" fillId="16" borderId="7" xfId="0" applyFill="1" applyBorder="1" applyAlignment="1">
      <alignment horizontal="center" vertical="top" wrapText="1"/>
    </xf>
    <xf numFmtId="0" fontId="0" fillId="16" borderId="10" xfId="0" applyFill="1" applyBorder="1" applyAlignment="1">
      <alignment horizontal="center" vertical="top" wrapText="1"/>
    </xf>
    <xf numFmtId="0" fontId="0" fillId="16" borderId="11" xfId="0" applyFill="1" applyBorder="1" applyAlignment="1">
      <alignment horizontal="center" vertical="top" wrapText="1"/>
    </xf>
    <xf numFmtId="0" fontId="0" fillId="9" borderId="0" xfId="0" applyFill="1" applyAlignment="1">
      <alignment horizontal="left"/>
    </xf>
    <xf numFmtId="0" fontId="0" fillId="16" borderId="14" xfId="0" applyFill="1" applyBorder="1" applyAlignment="1">
      <alignment horizontal="center"/>
    </xf>
    <xf numFmtId="0" fontId="0" fillId="16" borderId="16" xfId="0" applyFill="1" applyBorder="1" applyAlignment="1">
      <alignment horizontal="center"/>
    </xf>
    <xf numFmtId="0" fontId="0" fillId="16" borderId="15" xfId="0" applyFill="1" applyBorder="1" applyAlignment="1">
      <alignment horizontal="center"/>
    </xf>
    <xf numFmtId="0" fontId="5" fillId="16" borderId="1" xfId="0" applyFont="1" applyFill="1" applyBorder="1" applyAlignment="1">
      <alignment horizontal="center"/>
    </xf>
    <xf numFmtId="0" fontId="5" fillId="16" borderId="14" xfId="0" applyFont="1" applyFill="1" applyBorder="1" applyAlignment="1">
      <alignment horizontal="center"/>
    </xf>
    <xf numFmtId="0" fontId="5" fillId="16" borderId="15" xfId="0" applyFont="1" applyFill="1" applyBorder="1" applyAlignment="1">
      <alignment horizontal="center"/>
    </xf>
    <xf numFmtId="0" fontId="5" fillId="11" borderId="14" xfId="0" applyFont="1" applyFill="1" applyBorder="1" applyAlignment="1">
      <alignment horizontal="left"/>
    </xf>
    <xf numFmtId="0" fontId="5" fillId="11" borderId="15" xfId="0" applyFont="1" applyFill="1" applyBorder="1" applyAlignment="1">
      <alignment horizontal="left"/>
    </xf>
    <xf numFmtId="0" fontId="5" fillId="16" borderId="16" xfId="0" applyFont="1" applyFill="1" applyBorder="1" applyAlignment="1">
      <alignment horizontal="center" vertical="top"/>
    </xf>
    <xf numFmtId="0" fontId="5" fillId="16" borderId="15" xfId="0" applyFont="1" applyFill="1" applyBorder="1" applyAlignment="1">
      <alignment horizontal="center" vertical="top"/>
    </xf>
  </cellXfs>
  <cellStyles count="30">
    <cellStyle name="Bad" xfId="11" builtinId="27" hidden="1"/>
    <cellStyle name="Beregner Tekstboks" xfId="24" xr:uid="{7B789493-37DB-4DD4-BA86-4889BBDA2707}"/>
    <cellStyle name="Beregner: Afventer input" xfId="28" xr:uid="{2262A8B7-06B6-4DF8-8461-27BD779FD9E0}"/>
    <cellStyle name="Beregner: Baggrund" xfId="16" xr:uid="{9309F76E-0C06-41D1-A191-32AB4D664C49}"/>
    <cellStyle name="Beregner: Input" xfId="18" xr:uid="{62623BB7-16AA-4212-8914-42230D7E4112}"/>
    <cellStyle name="Beregner: Overskrift 1" xfId="23" xr:uid="{11955608-11CB-4208-BD84-7B44085233E5}"/>
    <cellStyle name="Beregner: Overskrift 2" xfId="27" xr:uid="{5A528B0B-939F-48C2-B07D-4A940057CDDC}"/>
    <cellStyle name="Beregner: Overskrift 3" xfId="19" xr:uid="{B22E6C26-5295-4738-9E71-FB848A9ACE1E}"/>
    <cellStyle name="Beregner: Statisk" xfId="17" xr:uid="{4B86ED21-95B5-4150-8AD3-C95535C7B788}"/>
    <cellStyle name="Calculation" xfId="6" builtinId="22" customBuiltin="1"/>
    <cellStyle name="Check Cell" xfId="8" builtinId="23" customBuiltin="1"/>
    <cellStyle name="Explanatory Text" xfId="13" builtinId="53" customBuiltin="1"/>
    <cellStyle name="Good" xfId="10" builtinId="26" hidden="1"/>
    <cellStyle name="Heading 1" xfId="1" builtinId="16" customBuiltin="1"/>
    <cellStyle name="Heading 2" xfId="2" builtinId="17" customBuiltin="1"/>
    <cellStyle name="Heading 3" xfId="3" builtinId="18" customBuiltin="1"/>
    <cellStyle name="Hyperlink" xfId="15" builtinId="8"/>
    <cellStyle name="Input" xfId="4" builtinId="20" customBuiltin="1"/>
    <cellStyle name="Introduktion: Overskrift 1" xfId="25" xr:uid="{7C0144AE-1639-43CC-A288-581F3F5EAB91}"/>
    <cellStyle name="Introduktion: Overskrift 2" xfId="26" xr:uid="{6C13E97B-A4A6-4FA1-AF5D-3B3F0821753D}"/>
    <cellStyle name="Linked Cell" xfId="7" builtinId="24" customBuiltin="1"/>
    <cellStyle name="Neutral" xfId="12" builtinId="28" hidden="1"/>
    <cellStyle name="Normal" xfId="0" builtinId="0" customBuiltin="1"/>
    <cellStyle name="Note" xfId="9" builtinId="10" customBuiltin="1"/>
    <cellStyle name="Output" xfId="5" builtinId="21" customBuiltin="1"/>
    <cellStyle name="Resultater: Figur-baggrund" xfId="22" xr:uid="{7B0D1CD1-553C-4099-8FFC-53FD16E0E09C}"/>
    <cellStyle name="Resultater: Overskrift 1" xfId="29" xr:uid="{C60636A9-40C4-4C6B-B344-B6846B8E2AC4}"/>
    <cellStyle name="Resultater: Overskrift 2" xfId="20" xr:uid="{A9672B38-0A93-486A-9922-ADC3429E0DF7}"/>
    <cellStyle name="Resultater: Overskrift 3" xfId="21" xr:uid="{00EC6CC3-154C-4296-BA1E-19856A12501C}"/>
    <cellStyle name="Warning Text" xfId="14" builtinId="11" customBuiltin="1"/>
  </cellStyles>
  <dxfs count="213">
    <dxf>
      <font>
        <color rgb="FF9C0006"/>
      </font>
      <fill>
        <patternFill>
          <bgColor rgb="FFFFC7CE"/>
        </patternFill>
      </fill>
    </dxf>
    <dxf>
      <font>
        <color theme="0"/>
      </font>
      <fill>
        <patternFill>
          <bgColor theme="2" tint="-0.499984740745262"/>
        </patternFill>
      </fill>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b/>
        <i val="0"/>
        <color rgb="FF00B050"/>
      </font>
      <fill>
        <patternFill patternType="none">
          <bgColor auto="1"/>
        </patternFill>
      </fill>
    </dxf>
    <dxf>
      <font>
        <b/>
        <i val="0"/>
        <color rgb="FFFF0000"/>
      </font>
      <fill>
        <patternFill patternType="none">
          <bgColor auto="1"/>
        </patternFill>
      </fill>
    </dxf>
    <dxf>
      <font>
        <color theme="0" tint="-0.14996795556505021"/>
      </font>
    </dxf>
    <dxf>
      <font>
        <color theme="0" tint="-0.14996795556505021"/>
      </font>
    </dxf>
    <dxf>
      <font>
        <b/>
        <i val="0"/>
        <color rgb="FF00B050"/>
      </font>
      <fill>
        <patternFill patternType="none">
          <bgColor auto="1"/>
        </patternFill>
      </fill>
    </dxf>
    <dxf>
      <font>
        <b/>
        <i val="0"/>
        <color rgb="FFFF0000"/>
      </font>
      <fill>
        <patternFill patternType="none">
          <bgColor auto="1"/>
        </patternFill>
      </fill>
    </dxf>
    <dxf>
      <font>
        <color theme="0" tint="-0.14996795556505021"/>
      </font>
    </dxf>
    <dxf>
      <font>
        <color rgb="FFFF0000"/>
      </font>
      <fill>
        <patternFill patternType="none">
          <bgColor auto="1"/>
        </patternFill>
      </fill>
    </dxf>
    <dxf>
      <font>
        <color rgb="FFFF0000"/>
      </font>
      <fill>
        <patternFill patternType="none">
          <bgColor auto="1"/>
        </patternFill>
      </fill>
    </dxf>
    <dxf>
      <font>
        <color theme="0" tint="-0.14996795556505021"/>
      </font>
    </dxf>
    <dxf>
      <font>
        <color theme="0" tint="-0.14996795556505021"/>
      </font>
    </dxf>
    <dxf>
      <font>
        <color theme="0" tint="-0.14996795556505021"/>
      </font>
    </dxf>
    <dxf>
      <font>
        <color theme="0" tint="-0.14996795556505021"/>
      </font>
    </dxf>
    <dxf>
      <fill>
        <patternFill>
          <bgColor theme="7"/>
        </patternFill>
      </fill>
    </dxf>
    <dxf>
      <fill>
        <patternFill>
          <bgColor theme="0" tint="-0.14996795556505021"/>
        </patternFill>
      </fill>
    </dxf>
    <dxf>
      <font>
        <color rgb="FF00B050"/>
      </font>
    </dxf>
    <dxf>
      <font>
        <color rgb="FFFF0000"/>
      </font>
    </dxf>
    <dxf>
      <font>
        <color rgb="FF00B050"/>
      </font>
    </dxf>
    <dxf>
      <font>
        <color rgb="FFFF0000"/>
      </font>
    </dxf>
    <dxf>
      <font>
        <color rgb="FFFF0000"/>
      </font>
    </dxf>
    <dxf>
      <font>
        <color rgb="FF00B050"/>
      </font>
    </dxf>
    <dxf>
      <font>
        <color rgb="FFFF0000"/>
      </font>
    </dxf>
    <dxf>
      <fill>
        <patternFill>
          <bgColor theme="0"/>
        </patternFill>
      </fill>
    </dxf>
    <dxf>
      <fill>
        <patternFill>
          <bgColor theme="0"/>
        </patternFill>
      </fill>
    </dxf>
    <dxf>
      <font>
        <color rgb="FFFF0000"/>
      </font>
    </dxf>
    <dxf>
      <font>
        <color rgb="FF0078E1"/>
      </font>
    </dxf>
    <dxf>
      <font>
        <color rgb="FFFF0000"/>
      </font>
    </dxf>
    <dxf>
      <font>
        <color rgb="FFFF0000"/>
      </font>
    </dxf>
    <dxf>
      <font>
        <color rgb="FF0078E1"/>
      </font>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 &quot;mm&quot;"/>
      <alignment horizontal="left" vertical="bottom" textRotation="0" wrapText="0" indent="0" justifyLastLine="0" shrinkToFit="0" readingOrder="0"/>
    </dxf>
    <dxf>
      <numFmt numFmtId="166" formatCode="#\ &quot;mm&quot;"/>
      <alignment horizontal="left" vertical="bottom" textRotation="0" wrapText="0" indent="0" justifyLastLine="0" shrinkToFit="0" readingOrder="0"/>
    </dxf>
    <dxf>
      <alignment horizontal="left" vertical="bottom" textRotation="0" wrapText="0" indent="0" justifyLastLine="0" shrinkToFit="0" readingOrder="0"/>
    </dxf>
    <dxf>
      <numFmt numFmtId="165" formatCode="#\ &quot;år&quot;"/>
      <alignment horizontal="left" vertical="bottom" textRotation="0" wrapText="0" indent="0" justifyLastLine="0" shrinkToFit="0" readingOrder="0"/>
    </dxf>
    <dxf>
      <numFmt numFmtId="165" formatCode="#\ &quot;år&quot;"/>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1"/>
        </patternFill>
      </fill>
    </dxf>
    <dxf>
      <font>
        <b/>
        <i val="0"/>
        <strike val="0"/>
        <condense val="0"/>
        <extend val="0"/>
        <outline val="0"/>
        <shadow val="0"/>
        <u val="none"/>
        <vertAlign val="baseline"/>
        <sz val="11"/>
        <color theme="1"/>
        <name val="Calibri"/>
        <family val="2"/>
        <scheme val="minor"/>
      </font>
      <fill>
        <patternFill patternType="solid">
          <fgColor indexed="64"/>
          <bgColor theme="1"/>
        </patternFill>
      </fill>
    </dxf>
    <dxf>
      <font>
        <b/>
        <i val="0"/>
        <strike val="0"/>
        <condense val="0"/>
        <extend val="0"/>
        <outline val="0"/>
        <shadow val="0"/>
        <u val="none"/>
        <vertAlign val="baseline"/>
        <sz val="11"/>
        <color theme="1"/>
        <name val="Calibri"/>
        <family val="2"/>
        <scheme val="minor"/>
      </font>
      <fill>
        <patternFill patternType="solid">
          <fgColor indexed="64"/>
          <bgColor theme="1"/>
        </patternFill>
      </fill>
    </dxf>
    <dxf>
      <font>
        <b/>
        <i val="0"/>
        <strike val="0"/>
        <condense val="0"/>
        <extend val="0"/>
        <outline val="0"/>
        <shadow val="0"/>
        <u val="none"/>
        <vertAlign val="baseline"/>
        <sz val="11"/>
        <color theme="1"/>
        <name val="Calibri"/>
        <family val="2"/>
        <scheme val="minor"/>
      </font>
      <fill>
        <patternFill patternType="solid">
          <fgColor indexed="64"/>
          <bgColor theme="1"/>
        </patternFill>
      </fill>
    </dxf>
    <dxf>
      <font>
        <b/>
        <i val="0"/>
        <strike val="0"/>
        <condense val="0"/>
        <extend val="0"/>
        <outline val="0"/>
        <shadow val="0"/>
        <u val="none"/>
        <vertAlign val="baseline"/>
        <sz val="11"/>
        <color theme="1"/>
        <name val="Calibri"/>
        <family val="2"/>
        <scheme val="minor"/>
      </font>
      <fill>
        <patternFill patternType="solid">
          <fgColor indexed="64"/>
          <bgColor theme="1"/>
        </patternFill>
      </fill>
    </dxf>
    <dxf>
      <numFmt numFmtId="167" formatCode="#,##0\ &quot;kr.&quot;"/>
      <fill>
        <patternFill patternType="solid">
          <fgColor indexed="64"/>
          <bgColor theme="0"/>
        </patternFill>
      </fill>
      <alignment horizontal="right"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3" formatCode="0%"/>
      <fill>
        <patternFill patternType="solid">
          <fgColor indexed="64"/>
          <bgColor rgb="FF92D05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73" formatCode="_-* #,##0\ &quot;kr.&quot;_-;\-* #,##0\ &quot;kr.&quot;_-;_-* &quot;-&quot;??\ &quot;kr.&quot;_-;_-@_-"/>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left/>
        <right/>
        <top style="thin">
          <color theme="1"/>
        </top>
        <bottom/>
        <vertical/>
        <horizontal/>
      </border>
    </dxf>
    <dxf>
      <fill>
        <patternFill patternType="solid">
          <fgColor indexed="64"/>
          <bgColor theme="0"/>
        </patternFill>
      </fill>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font>
        <b/>
        <i val="0"/>
        <strike val="0"/>
        <condense val="0"/>
        <extend val="0"/>
        <outline val="0"/>
        <shadow val="0"/>
        <u val="none"/>
        <vertAlign val="baseline"/>
        <sz val="11"/>
        <color theme="0"/>
        <name val="Calibri"/>
        <family val="2"/>
        <scheme val="minor"/>
      </font>
      <fill>
        <patternFill patternType="solid">
          <fgColor theme="1"/>
          <bgColor theme="1"/>
        </patternFill>
      </fill>
      <alignment horizontal="left" vertical="top" textRotation="0" wrapText="1" indent="0" justifyLastLine="0" shrinkToFit="0" readingOrder="0"/>
      <border diagonalUp="0" diagonalDown="0" outline="0">
        <left style="thin">
          <color indexed="64"/>
        </left>
        <right style="thin">
          <color indexed="64"/>
        </right>
        <top/>
        <bottom/>
      </border>
    </dxf>
    <dxf>
      <numFmt numFmtId="168" formatCode="0.0%"/>
      <fill>
        <patternFill patternType="solid">
          <fgColor indexed="64"/>
          <bgColor rgb="FF92D05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3" formatCode="0%"/>
      <alignment horizontal="center" vertical="center" textRotation="0" wrapText="0" indent="0" justifyLastLine="0" shrinkToFit="0" readingOrder="0"/>
    </dxf>
    <dxf>
      <numFmt numFmtId="173" formatCode="_-* #,##0\ &quot;kr.&quot;_-;\-* #,##0\ &quot;kr.&quot;_-;_-* &quot;-&quot;??\ &quot;kr.&quot;_-;_-@_-"/>
      <alignment horizontal="right" textRotation="0" indent="0" justifyLastLine="0" shrinkToFit="0" readingOrder="0"/>
    </dxf>
    <dxf>
      <font>
        <strike val="0"/>
        <outline val="0"/>
        <shadow val="0"/>
        <u val="none"/>
        <vertAlign val="baseline"/>
        <sz val="11"/>
        <color rgb="FF0A2DF2"/>
        <name val="Calibri"/>
        <family val="2"/>
        <scheme val="minor"/>
      </font>
    </dxf>
    <dxf>
      <border outline="0">
        <top style="thin">
          <color indexed="64"/>
        </top>
      </border>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72" formatCode="0.00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72" formatCode="0.00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95F"/>
        </patternFill>
      </fill>
      <border diagonalUp="0" diagonalDown="0">
        <left style="thin">
          <color indexed="64"/>
        </left>
        <right style="thin">
          <color indexed="64"/>
        </right>
        <top/>
        <bottom/>
        <vertical style="thin">
          <color indexed="64"/>
        </vertical>
        <horizontal style="thin">
          <color indexed="64"/>
        </horizontal>
      </border>
    </dxf>
    <dxf>
      <numFmt numFmtId="0" formatCode="General"/>
    </dxf>
    <dxf>
      <numFmt numFmtId="3" formatCode="#,##0"/>
    </dxf>
    <dxf>
      <numFmt numFmtId="0" formatCode="General"/>
    </dxf>
    <dxf>
      <numFmt numFmtId="0" formatCode="General"/>
      <alignment horizontal="center" vertical="bottom" textRotation="0" wrapText="0" indent="0" justifyLastLine="0" shrinkToFit="0" readingOrder="0"/>
    </dxf>
    <dxf>
      <border outline="0">
        <top style="thin">
          <color indexed="64"/>
        </top>
      </border>
    </dxf>
    <dxf>
      <border outline="0">
        <bottom style="thin">
          <color indexed="64"/>
        </bottom>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none">
          <fgColor indexed="64"/>
          <bgColor auto="1"/>
        </patternFill>
      </fill>
    </dxf>
    <dxf>
      <numFmt numFmtId="171" formatCode="0.0000"/>
      <fill>
        <patternFill patternType="none">
          <fgColor indexed="64"/>
          <bgColor auto="1"/>
        </patternFill>
      </fill>
      <alignment vertical="center" textRotation="0" wrapText="1" indent="0" justifyLastLine="0" shrinkToFit="0" readingOrder="0"/>
    </dxf>
    <dxf>
      <numFmt numFmtId="13" formatCode="0%"/>
      <fill>
        <patternFill patternType="none">
          <fgColor indexed="64"/>
          <bgColor auto="1"/>
        </patternFill>
      </fill>
      <alignment vertical="center" textRotation="0" wrapText="1" indent="0" justifyLastLine="0" shrinkToFit="0" readingOrder="0"/>
    </dxf>
    <dxf>
      <font>
        <strike val="0"/>
        <outline val="0"/>
        <shadow val="0"/>
        <u val="none"/>
        <vertAlign val="baseline"/>
        <sz val="11"/>
        <color auto="1"/>
        <name val="Calibri"/>
        <family val="2"/>
        <scheme val="minor"/>
      </font>
      <numFmt numFmtId="34" formatCode="_-* #,##0.00\ &quot;kr.&quot;_-;\-* #,##0.00\ &quot;kr.&quot;_-;_-* &quot;-&quot;??\ &quot;kr.&quot;_-;_-@_-"/>
      <fill>
        <patternFill patternType="none">
          <fgColor indexed="64"/>
          <bgColor auto="1"/>
        </patternFill>
      </fill>
      <alignment vertical="center" textRotation="0" indent="0" justifyLastLine="0" shrinkToFit="0" readingOrder="0"/>
    </dxf>
    <dxf>
      <numFmt numFmtId="0" formatCode="General"/>
      <fill>
        <patternFill patternType="none">
          <fgColor indexed="64"/>
          <bgColor auto="1"/>
        </patternFill>
      </fill>
      <alignment horizontal="general" vertical="center" textRotation="0" wrapText="0" indent="0" justifyLastLine="0" shrinkToFit="0" readingOrder="0"/>
    </dxf>
    <dxf>
      <numFmt numFmtId="171" formatCode="0.0000"/>
      <fill>
        <patternFill patternType="none">
          <fgColor indexed="64"/>
          <bgColor auto="1"/>
        </patternFill>
      </fill>
      <alignment vertical="center" textRotation="0" indent="0" justifyLastLine="0" shrinkToFit="0" readingOrder="0"/>
    </dxf>
    <dxf>
      <numFmt numFmtId="171" formatCode="0.0000"/>
      <fill>
        <patternFill patternType="none">
          <fgColor indexed="64"/>
          <bgColor auto="1"/>
        </patternFill>
      </fill>
      <alignment vertical="center" textRotation="0" indent="0" justifyLastLine="0" shrinkToFit="0" readingOrder="0"/>
    </dxf>
    <dxf>
      <numFmt numFmtId="174" formatCode="#,##0.000"/>
      <fill>
        <patternFill patternType="none">
          <fgColor indexed="64"/>
          <bgColor auto="1"/>
        </patternFill>
      </fill>
      <alignment horizontal="center" vertical="center" textRotation="0" wrapText="0" indent="0" justifyLastLine="0" shrinkToFit="0" readingOrder="0"/>
    </dxf>
    <dxf>
      <numFmt numFmtId="174" formatCode="#,##0.000"/>
      <fill>
        <patternFill patternType="none">
          <fgColor indexed="64"/>
          <bgColor auto="1"/>
        </patternFill>
      </fill>
      <alignment horizontal="center" vertical="center" textRotation="0" wrapText="0" indent="0" justifyLastLine="0" shrinkToFit="0" readingOrder="0"/>
    </dxf>
    <dxf>
      <numFmt numFmtId="174" formatCode="#,##0.000"/>
      <fill>
        <patternFill patternType="none">
          <fgColor indexed="64"/>
          <bgColor auto="1"/>
        </patternFill>
      </fill>
      <alignment horizontal="center" vertical="center" textRotation="0" wrapText="0" indent="0" justifyLastLine="0" shrinkToFit="0" readingOrder="0"/>
    </dxf>
    <dxf>
      <numFmt numFmtId="174" formatCode="#,##0.000"/>
      <fill>
        <patternFill patternType="none">
          <fgColor indexed="64"/>
          <bgColor auto="1"/>
        </patternFill>
      </fill>
      <alignment horizontal="center" vertical="center" textRotation="0" wrapText="0" indent="0" justifyLastLine="0" shrinkToFit="0" readingOrder="0"/>
    </dxf>
    <dxf>
      <numFmt numFmtId="174" formatCode="#,##0.000"/>
      <fill>
        <patternFill patternType="none">
          <fgColor indexed="64"/>
          <bgColor auto="1"/>
        </patternFill>
      </fill>
      <alignment horizontal="center" vertical="center" textRotation="0" wrapText="0" indent="0" justifyLastLine="0" shrinkToFit="0" readingOrder="0"/>
    </dxf>
    <dxf>
      <numFmt numFmtId="13" formatCode="0%"/>
      <fill>
        <patternFill patternType="none">
          <fgColor indexed="64"/>
          <bgColor auto="1"/>
        </patternFill>
      </fill>
      <alignment horizontal="center" vertical="center" textRotation="0" wrapText="0" indent="0" justifyLastLine="0" shrinkToFit="0" readingOrder="0"/>
    </dxf>
    <dxf>
      <numFmt numFmtId="13" formatCode="0%"/>
      <fill>
        <patternFill patternType="none">
          <fgColor indexed="64"/>
          <bgColor auto="1"/>
        </patternFill>
      </fill>
      <alignment horizontal="center" vertical="center" textRotation="0" wrapText="0" indent="0" justifyLastLine="0" shrinkToFit="0" readingOrder="0"/>
    </dxf>
    <dxf>
      <numFmt numFmtId="0" formatCode="General"/>
      <fill>
        <patternFill patternType="none">
          <fgColor indexed="64"/>
          <bgColor auto="1"/>
        </patternFill>
      </fill>
      <alignment vertical="center" textRotation="0" indent="0" justifyLastLine="0" shrinkToFit="0" readingOrder="0"/>
    </dxf>
    <dxf>
      <numFmt numFmtId="0" formatCode="General"/>
      <fill>
        <patternFill patternType="none">
          <fgColor indexed="64"/>
          <bgColor auto="1"/>
        </patternFill>
      </fill>
      <alignment vertical="center" textRotation="0" indent="0" justifyLastLine="0" shrinkToFit="0" readingOrder="0"/>
    </dxf>
    <dxf>
      <numFmt numFmtId="0" formatCode="General"/>
      <fill>
        <patternFill patternType="none">
          <fgColor indexed="64"/>
          <bgColor auto="1"/>
        </patternFill>
      </fill>
      <alignment vertical="center" textRotation="0" indent="0" justifyLastLine="0" shrinkToFit="0" readingOrder="0"/>
    </dxf>
    <dxf>
      <numFmt numFmtId="0" formatCode="General"/>
      <fill>
        <patternFill patternType="none">
          <fgColor indexed="64"/>
          <bgColor auto="1"/>
        </patternFill>
      </fill>
      <alignment horizontal="left" vertical="center" textRotation="0" wrapText="1" indent="0" justifyLastLine="0" shrinkToFit="0" readingOrder="0"/>
    </dxf>
    <dxf>
      <numFmt numFmtId="0" formatCode="General"/>
      <fill>
        <patternFill patternType="none">
          <fgColor indexed="64"/>
          <bgColor auto="1"/>
        </patternFill>
      </fill>
      <alignment vertical="center" textRotation="0" indent="0" justifyLastLine="0" shrinkToFit="0" readingOrder="0"/>
    </dxf>
    <dxf>
      <numFmt numFmtId="0" formatCode="General"/>
      <fill>
        <patternFill patternType="none">
          <fgColor indexed="64"/>
          <bgColor auto="1"/>
        </patternFill>
      </fill>
      <alignment vertical="center" textRotation="0" indent="0" justifyLastLine="0" shrinkToFit="0" readingOrder="0"/>
    </dxf>
    <dxf>
      <numFmt numFmtId="0" formatCode="General"/>
      <fill>
        <patternFill patternType="none">
          <fgColor indexed="64"/>
          <bgColor auto="1"/>
        </patternFill>
      </fill>
      <alignment vertical="center" textRotation="0" indent="0" justifyLastLine="0" shrinkToFit="0" readingOrder="0"/>
    </dxf>
    <dxf>
      <numFmt numFmtId="0" formatCode="General"/>
      <fill>
        <patternFill patternType="none">
          <fgColor indexed="64"/>
          <bgColor auto="1"/>
        </patternFill>
      </fill>
      <alignment vertical="center" textRotation="0" indent="0" justifyLastLine="0" shrinkToFit="0" readingOrder="0"/>
    </dxf>
    <dxf>
      <numFmt numFmtId="0" formatCode="General"/>
      <fill>
        <patternFill patternType="none">
          <fgColor indexed="64"/>
          <bgColor auto="1"/>
        </patternFill>
      </fill>
      <alignment horizontal="center" vertical="center" textRotation="0" wrapText="1" indent="0" justifyLastLine="0" shrinkToFit="0" readingOrder="0"/>
    </dxf>
    <dxf>
      <numFmt numFmtId="0" formatCode="General"/>
      <fill>
        <patternFill patternType="none">
          <fgColor indexed="64"/>
          <bgColor auto="1"/>
        </patternFill>
      </fill>
      <alignment horizontal="general" vertical="center" textRotation="0" wrapText="0" indent="0" justifyLastLine="0" shrinkToFit="0" readingOrder="0"/>
    </dxf>
    <dxf>
      <numFmt numFmtId="0" formatCode="General"/>
      <fill>
        <patternFill patternType="none">
          <fgColor indexed="64"/>
          <bgColor auto="1"/>
        </patternFill>
      </fill>
      <alignment vertical="center" textRotation="0" indent="0" justifyLastLine="0" shrinkToFit="0" readingOrder="0"/>
    </dxf>
    <dxf>
      <numFmt numFmtId="3" formatCode="#,##0"/>
      <fill>
        <patternFill patternType="none">
          <fgColor indexed="64"/>
          <bgColor auto="1"/>
        </patternFill>
      </fill>
      <alignment horizontal="general" vertical="center" textRotation="0" wrapText="1" indent="0" justifyLastLine="0" shrinkToFit="0" readingOrder="0"/>
    </dxf>
    <dxf>
      <numFmt numFmtId="0" formatCode="General"/>
      <fill>
        <patternFill patternType="none">
          <fgColor indexed="64"/>
          <bgColor auto="1"/>
        </patternFill>
      </fill>
      <alignment horizontal="general" vertical="center" textRotation="0" wrapText="1" indent="0" justifyLastLine="0" shrinkToFit="0" readingOrder="0"/>
    </dxf>
    <dxf>
      <numFmt numFmtId="3" formatCode="#,##0"/>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ont>
        <strike val="0"/>
        <outline val="0"/>
        <shadow val="0"/>
        <vertAlign val="baseline"/>
        <sz val="9"/>
        <name val="Calibri"/>
        <family val="2"/>
        <scheme val="minor"/>
      </font>
      <fill>
        <patternFill patternType="none">
          <fgColor indexed="64"/>
          <bgColor auto="1"/>
        </patternFill>
      </fill>
      <alignment horizontal="general" vertical="center" textRotation="0" wrapText="1" indent="0" justifyLastLine="0" shrinkToFit="0" readingOrder="0"/>
    </dxf>
    <dxf>
      <font>
        <u/>
        <sz val="9"/>
        <color theme="10"/>
      </font>
      <numFmt numFmtId="171" formatCode="0.0000"/>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numFmt numFmtId="171" formatCode="0.0000"/>
      <fill>
        <patternFill patternType="none">
          <fgColor indexed="64"/>
          <bgColor auto="1"/>
        </patternFill>
      </fill>
      <alignment horizontal="general" vertical="center" textRotation="0" wrapText="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horizontal="general" vertical="top" textRotation="0" wrapText="0" indent="0" justifyLastLine="0" shrinkToFit="0" readingOrder="0"/>
    </dxf>
    <dxf>
      <numFmt numFmtId="169" formatCode="#,##0.00\ &quot;kr.&quot;"/>
      <alignment horizontal="center" vertical="bottom" textRotation="0" wrapText="0" indent="0" justifyLastLine="0" shrinkToFit="0" readingOrder="0"/>
      <border diagonalUp="0" diagonalDown="0">
        <left/>
        <right style="thick">
          <color indexed="64"/>
        </right>
        <top/>
        <bottom/>
        <vertical/>
        <horizontal/>
      </border>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border diagonalUp="0" diagonalDown="0">
        <left/>
        <right style="thick">
          <color indexed="64"/>
        </right>
        <top/>
        <bottom/>
        <vertical/>
        <horizontal/>
      </border>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border diagonalUp="0" diagonalDown="0">
        <left/>
        <right style="thick">
          <color indexed="64"/>
        </right>
        <top/>
        <bottom/>
        <vertical/>
        <horizontal/>
      </border>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border diagonalUp="0" diagonalDown="0">
        <left/>
        <right style="thick">
          <color indexed="64"/>
        </right>
        <top/>
        <bottom/>
        <vertical/>
        <horizontal/>
      </border>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border diagonalUp="0" diagonalDown="0">
        <left/>
        <right style="thick">
          <color indexed="64"/>
        </right>
        <top/>
        <bottom/>
        <vertical/>
        <horizontal/>
      </border>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border diagonalUp="0" diagonalDown="0">
        <left/>
        <right style="thick">
          <color indexed="64"/>
        </right>
        <top/>
        <bottom/>
        <vertical/>
        <horizontal/>
      </border>
    </dxf>
    <dxf>
      <numFmt numFmtId="169" formatCode="#,##0.00\ &quot;kr.&quot;"/>
      <alignment horizontal="center" vertical="bottom" textRotation="0" wrapText="0" indent="0" justifyLastLine="0" shrinkToFit="0" readingOrder="0"/>
    </dxf>
    <dxf>
      <numFmt numFmtId="176" formatCode="#,##0.00\ \k\W\h"/>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dxf>
    <dxf>
      <numFmt numFmtId="169" formatCode="#,##0.00\ &quot;kr.&quot;"/>
      <alignment horizontal="center" vertical="bottom" textRotation="0" wrapText="0" indent="0" justifyLastLine="0" shrinkToFit="0" readingOrder="0"/>
      <border diagonalUp="0" diagonalDown="0">
        <left/>
        <right style="thick">
          <color indexed="64"/>
        </right>
        <vertical/>
      </border>
    </dxf>
    <dxf>
      <numFmt numFmtId="169" formatCode="#,##0.00\ &quot;kr.&quot;"/>
      <alignment horizontal="center" vertical="bottom" textRotation="0" wrapText="0" indent="0" justifyLastLine="0" shrinkToFit="0" readingOrder="0"/>
    </dxf>
    <dxf>
      <numFmt numFmtId="3" formatCode="#,##0"/>
      <fill>
        <patternFill patternType="none">
          <fgColor indexed="64"/>
          <bgColor auto="1"/>
        </patternFill>
      </fill>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ck">
          <color indexed="64"/>
        </left>
        <right/>
        <vertical/>
      </border>
    </dxf>
    <dxf>
      <numFmt numFmtId="4" formatCode="#,##0.00"/>
      <alignment horizontal="center" vertical="bottom" textRotation="0" wrapText="0" indent="0" justifyLastLine="0" shrinkToFit="0" readingOrder="0"/>
      <border diagonalUp="0" diagonalDown="0">
        <left/>
        <right style="thick">
          <color indexed="64"/>
        </right>
        <vertical/>
      </border>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border diagonalUp="0" diagonalDown="0">
        <left/>
        <right style="thick">
          <color indexed="64"/>
        </right>
        <top/>
        <bottom/>
        <vertical/>
        <horizontal/>
      </border>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font>
        <color auto="1"/>
      </font>
      <numFmt numFmtId="3" formatCode="#,##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border diagonalUp="0" diagonalDown="0">
        <left/>
        <right style="thick">
          <color indexed="64"/>
        </right>
        <vertical/>
      </border>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font>
        <strike val="0"/>
        <outline val="0"/>
        <shadow val="0"/>
        <u val="none"/>
        <vertAlign val="baseline"/>
        <sz val="11"/>
        <color auto="1"/>
        <name val="Calibri"/>
        <family val="2"/>
        <scheme val="minor"/>
      </font>
      <numFmt numFmtId="3" formatCode="#,##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4" formatCode="#,##0.00"/>
      <alignment horizontal="center" vertical="bottom" textRotation="0" wrapText="0" indent="0" justifyLastLine="0" shrinkToFit="0" readingOrder="0"/>
    </dxf>
    <dxf>
      <numFmt numFmtId="168" formatCode="0.0%"/>
      <fill>
        <patternFill patternType="solid">
          <fgColor indexed="64"/>
          <bgColor theme="8" tint="0.79998168889431442"/>
        </patternFill>
      </fill>
      <alignment horizontal="center" vertical="bottom" textRotation="0" wrapText="0" indent="0" justifyLastLine="0" shrinkToFit="0" readingOrder="0"/>
      <border diagonalUp="0" diagonalDown="0">
        <right style="thick">
          <color indexed="64"/>
        </right>
        <vertical/>
      </border>
    </dxf>
    <dxf>
      <numFmt numFmtId="0" formatCode="General"/>
      <fill>
        <patternFill patternType="solid">
          <fgColor indexed="64"/>
          <bgColor theme="8" tint="0.79998168889431442"/>
        </patternFill>
      </fill>
      <alignment horizontal="center" vertical="bottom" textRotation="0" wrapText="0" indent="0" justifyLastLine="0" shrinkToFit="0" readingOrder="0"/>
    </dxf>
    <dxf>
      <fill>
        <patternFill patternType="solid">
          <fgColor indexed="64"/>
          <bgColor theme="8" tint="0.79998168889431442"/>
        </patternFill>
      </fill>
      <alignment horizontal="center" vertical="bottom" textRotation="0" wrapText="0" indent="0" justifyLastLine="0" shrinkToFit="0" readingOrder="0"/>
    </dxf>
    <dxf>
      <alignment horizontal="left" vertical="bottom" textRotation="0" wrapText="0" indent="0" justifyLastLine="0" shrinkToFit="0" readingOrder="0"/>
    </dxf>
  </dxfs>
  <tableStyles count="0" defaultTableStyle="TableStyleMedium2" defaultPivotStyle="PivotStyleLight16"/>
  <colors>
    <mruColors>
      <color rgb="FFB58531"/>
      <color rgb="FFBCA371"/>
      <color rgb="FFBB6745"/>
      <color rgb="FFBEBEBE"/>
      <color rgb="FF6D6AA7"/>
      <color rgb="FF3CB27F"/>
      <color rgb="FF4188C8"/>
      <color rgb="FFDEE3FE"/>
      <color rgb="FFFBE5E7"/>
      <color rgb="FFCFD6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Grafpunkter!$D$3</c:f>
              <c:strCache>
                <c:ptCount val="1"/>
                <c:pt idx="0">
                  <c:v>Nutidsværdi_Klimafacade</c:v>
                </c:pt>
              </c:strCache>
            </c:strRef>
          </c:tx>
          <c:spPr>
            <a:ln w="19050" cap="rnd">
              <a:solidFill>
                <a:srgbClr val="0A2DF2"/>
              </a:solidFill>
              <a:round/>
            </a:ln>
            <a:effectLst/>
          </c:spPr>
          <c:marker>
            <c:symbol val="none"/>
          </c:marker>
          <c:xVal>
            <c:numRef>
              <c:f>Grafpunkter!$A$4:$A$84</c:f>
              <c:numCache>
                <c:formatCode>General</c:formatCod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Grafpunkter!$D$4:$D$84</c:f>
              <c:numCache>
                <c:formatCode>#,##0.00</c:formatCode>
                <c:ptCount val="81"/>
                <c:pt idx="0">
                  <c:v>0</c:v>
                </c:pt>
              </c:numCache>
            </c:numRef>
          </c:yVal>
          <c:smooth val="0"/>
          <c:extLst>
            <c:ext xmlns:c16="http://schemas.microsoft.com/office/drawing/2014/chart" uri="{C3380CC4-5D6E-409C-BE32-E72D297353CC}">
              <c16:uniqueId val="{00000000-05DD-4885-83FB-D902381323B0}"/>
            </c:ext>
          </c:extLst>
        </c:ser>
        <c:ser>
          <c:idx val="1"/>
          <c:order val="1"/>
          <c:tx>
            <c:strRef>
              <c:f>Grafpunkter!$E$3</c:f>
              <c:strCache>
                <c:ptCount val="1"/>
                <c:pt idx="0">
                  <c:v>Nutidsværdi_Eksisterende</c:v>
                </c:pt>
              </c:strCache>
            </c:strRef>
          </c:tx>
          <c:spPr>
            <a:ln w="19050" cap="rnd">
              <a:solidFill>
                <a:srgbClr val="C00000"/>
              </a:solidFill>
              <a:prstDash val="sysDash"/>
              <a:round/>
            </a:ln>
            <a:effectLst/>
          </c:spPr>
          <c:marker>
            <c:symbol val="none"/>
          </c:marker>
          <c:xVal>
            <c:numRef>
              <c:f>Grafpunkter!$A$4:$A$84</c:f>
              <c:numCache>
                <c:formatCode>General</c:formatCod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Grafpunkter!$E$4:$E$84</c:f>
              <c:numCache>
                <c:formatCode>#,##0.00</c:formatCode>
                <c:ptCount val="81"/>
                <c:pt idx="0">
                  <c:v>0</c:v>
                </c:pt>
              </c:numCache>
            </c:numRef>
          </c:yVal>
          <c:smooth val="0"/>
          <c:extLst>
            <c:ext xmlns:c16="http://schemas.microsoft.com/office/drawing/2014/chart" uri="{C3380CC4-5D6E-409C-BE32-E72D297353CC}">
              <c16:uniqueId val="{00000001-05DD-4885-83FB-D902381323B0}"/>
            </c:ext>
          </c:extLst>
        </c:ser>
        <c:ser>
          <c:idx val="2"/>
          <c:order val="2"/>
          <c:tx>
            <c:strRef>
              <c:f>Grafpunkter!$L$3</c:f>
              <c:strCache>
                <c:ptCount val="1"/>
                <c:pt idx="0">
                  <c:v>LCC Rentabel</c:v>
                </c:pt>
              </c:strCache>
            </c:strRef>
          </c:tx>
          <c:spPr>
            <a:ln w="19050" cap="rnd">
              <a:noFill/>
              <a:round/>
            </a:ln>
            <a:effectLst/>
          </c:spPr>
          <c:marker>
            <c:symbol val="circle"/>
            <c:size val="9"/>
            <c:spPr>
              <a:noFill/>
              <a:ln w="19050">
                <a:solidFill>
                  <a:srgbClr val="00B050"/>
                </a:solidFill>
              </a:ln>
              <a:effectLst/>
            </c:spPr>
          </c:marker>
          <c:dLbls>
            <c:dLbl>
              <c:idx val="0"/>
              <c:numFmt formatCode="#,##0.00\ &quot;år&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B050"/>
                      </a:solidFill>
                      <a:latin typeface="+mn-lt"/>
                      <a:ea typeface="+mn-ea"/>
                      <a:cs typeface="+mn-cs"/>
                    </a:defRPr>
                  </a:pPr>
                  <a:endParaRPr lang="da-DK"/>
                </a:p>
              </c:txPr>
              <c:dLblPos val="t"/>
              <c:showLegendKey val="0"/>
              <c:showVal val="0"/>
              <c:showCatName val="1"/>
              <c:showSerName val="0"/>
              <c:showPercent val="0"/>
              <c:showBubbleSize val="0"/>
              <c:extLst>
                <c:ext xmlns:c16="http://schemas.microsoft.com/office/drawing/2014/chart" uri="{C3380CC4-5D6E-409C-BE32-E72D297353CC}">
                  <c16:uniqueId val="{00000002-05DD-4885-83FB-D902381323B0}"/>
                </c:ext>
              </c:extLst>
            </c:dLbl>
            <c:numFmt formatCode="#,##0.00\ &quot;år&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Grafpunkter!$L$5</c:f>
              <c:numCache>
                <c:formatCode>#,##0.00</c:formatCode>
                <c:ptCount val="1"/>
                <c:pt idx="0">
                  <c:v>-10</c:v>
                </c:pt>
              </c:numCache>
            </c:numRef>
          </c:xVal>
          <c:yVal>
            <c:numRef>
              <c:f>Grafpunkter!$M$5</c:f>
              <c:numCache>
                <c:formatCode>#,##0.00</c:formatCode>
                <c:ptCount val="1"/>
                <c:pt idx="0">
                  <c:v>0</c:v>
                </c:pt>
              </c:numCache>
            </c:numRef>
          </c:yVal>
          <c:smooth val="0"/>
          <c:extLst>
            <c:ext xmlns:c16="http://schemas.microsoft.com/office/drawing/2014/chart" uri="{C3380CC4-5D6E-409C-BE32-E72D297353CC}">
              <c16:uniqueId val="{00000003-05DD-4885-83FB-D902381323B0}"/>
            </c:ext>
          </c:extLst>
        </c:ser>
        <c:ser>
          <c:idx val="3"/>
          <c:order val="3"/>
          <c:tx>
            <c:strRef>
              <c:f>Grafpunkter!$N$3</c:f>
              <c:strCache>
                <c:ptCount val="1"/>
                <c:pt idx="0">
                  <c:v>LCC Urentabel</c:v>
                </c:pt>
              </c:strCache>
            </c:strRef>
          </c:tx>
          <c:spPr>
            <a:ln w="19050" cap="rnd">
              <a:noFill/>
              <a:round/>
            </a:ln>
            <a:effectLst/>
          </c:spPr>
          <c:marker>
            <c:symbol val="circle"/>
            <c:size val="9"/>
            <c:spPr>
              <a:noFill/>
              <a:ln w="19050">
                <a:solidFill>
                  <a:srgbClr val="FF0000"/>
                </a:solidFill>
              </a:ln>
              <a:effectLst/>
            </c:spPr>
          </c:marker>
          <c:dLbls>
            <c:numFmt formatCode="#,##0.00\ &quot;år&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da-DK"/>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Grafpunkter!$N$5</c:f>
              <c:numCache>
                <c:formatCode>#,##0.00</c:formatCode>
                <c:ptCount val="1"/>
                <c:pt idx="0">
                  <c:v>-10</c:v>
                </c:pt>
              </c:numCache>
            </c:numRef>
          </c:xVal>
          <c:yVal>
            <c:numRef>
              <c:f>Grafpunkter!$O$5</c:f>
              <c:numCache>
                <c:formatCode>#,##0.00</c:formatCode>
                <c:ptCount val="1"/>
                <c:pt idx="0">
                  <c:v>0</c:v>
                </c:pt>
              </c:numCache>
            </c:numRef>
          </c:yVal>
          <c:smooth val="0"/>
          <c:extLst>
            <c:ext xmlns:c16="http://schemas.microsoft.com/office/drawing/2014/chart" uri="{C3380CC4-5D6E-409C-BE32-E72D297353CC}">
              <c16:uniqueId val="{00000004-05DD-4885-83FB-D902381323B0}"/>
            </c:ext>
          </c:extLst>
        </c:ser>
        <c:dLbls>
          <c:showLegendKey val="0"/>
          <c:showVal val="0"/>
          <c:showCatName val="0"/>
          <c:showSerName val="0"/>
          <c:showPercent val="0"/>
          <c:showBubbleSize val="0"/>
        </c:dLbls>
        <c:axId val="1233614864"/>
        <c:axId val="1233640784"/>
      </c:scatterChart>
      <c:valAx>
        <c:axId val="1233614864"/>
        <c:scaling>
          <c:orientation val="minMax"/>
          <c:min val="0"/>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sz="1000" b="1" i="0" u="none" strike="noStrike" kern="1200" baseline="0">
                    <a:solidFill>
                      <a:sysClr val="windowText" lastClr="000000">
                        <a:lumMod val="65000"/>
                        <a:lumOff val="35000"/>
                      </a:sysClr>
                    </a:solidFill>
                  </a:rPr>
                  <a:t>Tidsforløb</a:t>
                </a:r>
                <a:r>
                  <a:rPr lang="da-DK" sz="1000" b="0" i="0" u="none" strike="noStrike" kern="1200" baseline="0">
                    <a:solidFill>
                      <a:sysClr val="windowText" lastClr="000000">
                        <a:lumMod val="65000"/>
                        <a:lumOff val="35000"/>
                      </a:sysClr>
                    </a:solidFill>
                  </a:rPr>
                  <a:t>   [år]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233640784"/>
        <c:crosses val="autoZero"/>
        <c:crossBetween val="midCat"/>
      </c:valAx>
      <c:valAx>
        <c:axId val="1233640784"/>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1" i="0" u="none" strike="noStrike" kern="1200" baseline="0">
                    <a:solidFill>
                      <a:sysClr val="windowText" lastClr="000000">
                        <a:lumMod val="65000"/>
                        <a:lumOff val="35000"/>
                      </a:sysClr>
                    </a:solidFill>
                  </a:rPr>
                  <a:t>Samlet nutidsværdi  </a:t>
                </a:r>
                <a:r>
                  <a:rPr lang="en-GB" sz="1000" b="0" i="0" u="none" strike="noStrike" kern="1200" baseline="0">
                    <a:solidFill>
                      <a:sysClr val="windowText" lastClr="000000">
                        <a:lumMod val="65000"/>
                        <a:lumOff val="35000"/>
                      </a:sysClr>
                    </a:solidFill>
                  </a:rPr>
                  <a:t> [kr/m</a:t>
                </a:r>
                <a:r>
                  <a:rPr lang="da-DK" sz="800" b="0" i="0" u="none" strike="noStrike" kern="1200" baseline="0">
                    <a:solidFill>
                      <a:sysClr val="windowText" lastClr="000000">
                        <a:lumMod val="65000"/>
                        <a:lumOff val="35000"/>
                      </a:sysClr>
                    </a:solidFill>
                  </a:rPr>
                  <a:t>²</a:t>
                </a:r>
                <a:r>
                  <a:rPr lang="en-GB" sz="1000" b="0" i="0" u="none" strike="noStrike" kern="1200" baseline="0">
                    <a:solidFill>
                      <a:sysClr val="windowText" lastClr="000000">
                        <a:lumMod val="65000"/>
                        <a:lumOff val="35000"/>
                      </a:sysClr>
                    </a:solidFill>
                  </a:rPr>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23361486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Grafpunkter!$B$3</c:f>
              <c:strCache>
                <c:ptCount val="1"/>
                <c:pt idx="0">
                  <c:v>Nettoemission_Klimafacade</c:v>
                </c:pt>
              </c:strCache>
            </c:strRef>
          </c:tx>
          <c:spPr>
            <a:ln w="19050" cap="rnd">
              <a:solidFill>
                <a:srgbClr val="0A2DF2"/>
              </a:solidFill>
              <a:round/>
            </a:ln>
            <a:effectLst/>
          </c:spPr>
          <c:marker>
            <c:symbol val="none"/>
          </c:marker>
          <c:xVal>
            <c:numRef>
              <c:f>Grafpunkter!$A$4:$A$84</c:f>
              <c:numCache>
                <c:formatCode>General</c:formatCod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Grafpunkter!$B$4:$B$84</c:f>
              <c:numCache>
                <c:formatCode>#,##0.00</c:formatCode>
                <c:ptCount val="81"/>
                <c:pt idx="0">
                  <c:v>0</c:v>
                </c:pt>
              </c:numCache>
            </c:numRef>
          </c:yVal>
          <c:smooth val="0"/>
          <c:extLst>
            <c:ext xmlns:c16="http://schemas.microsoft.com/office/drawing/2014/chart" uri="{C3380CC4-5D6E-409C-BE32-E72D297353CC}">
              <c16:uniqueId val="{00000000-487A-4D20-BDA6-3AE1C1CF4014}"/>
            </c:ext>
          </c:extLst>
        </c:ser>
        <c:ser>
          <c:idx val="1"/>
          <c:order val="1"/>
          <c:tx>
            <c:strRef>
              <c:f>Grafpunkter!$C$3</c:f>
              <c:strCache>
                <c:ptCount val="1"/>
                <c:pt idx="0">
                  <c:v>Vedligehold_Eksisterende</c:v>
                </c:pt>
              </c:strCache>
            </c:strRef>
          </c:tx>
          <c:spPr>
            <a:ln w="19050" cap="rnd">
              <a:solidFill>
                <a:srgbClr val="D72232"/>
              </a:solidFill>
              <a:prstDash val="sysDash"/>
              <a:round/>
            </a:ln>
            <a:effectLst/>
          </c:spPr>
          <c:marker>
            <c:symbol val="none"/>
          </c:marker>
          <c:xVal>
            <c:numRef>
              <c:f>Grafpunkter!$A$4:$A$84</c:f>
              <c:numCache>
                <c:formatCode>General</c:formatCod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Grafpunkter!$C$4:$C$84</c:f>
              <c:numCache>
                <c:formatCode>#,##0.00</c:formatCode>
                <c:ptCount val="81"/>
                <c:pt idx="0">
                  <c:v>0</c:v>
                </c:pt>
              </c:numCache>
            </c:numRef>
          </c:yVal>
          <c:smooth val="0"/>
          <c:extLst>
            <c:ext xmlns:c16="http://schemas.microsoft.com/office/drawing/2014/chart" uri="{C3380CC4-5D6E-409C-BE32-E72D297353CC}">
              <c16:uniqueId val="{00000001-487A-4D20-BDA6-3AE1C1CF4014}"/>
            </c:ext>
          </c:extLst>
        </c:ser>
        <c:ser>
          <c:idx val="2"/>
          <c:order val="2"/>
          <c:tx>
            <c:strRef>
              <c:f>Grafpunkter!$G$3</c:f>
              <c:strCache>
                <c:ptCount val="1"/>
                <c:pt idx="0">
                  <c:v>LCA Rentabel</c:v>
                </c:pt>
              </c:strCache>
            </c:strRef>
          </c:tx>
          <c:spPr>
            <a:ln w="19050" cap="rnd">
              <a:noFill/>
              <a:round/>
            </a:ln>
            <a:effectLst/>
          </c:spPr>
          <c:marker>
            <c:symbol val="circle"/>
            <c:size val="9"/>
            <c:spPr>
              <a:noFill/>
              <a:ln w="19050">
                <a:solidFill>
                  <a:srgbClr val="00B050"/>
                </a:solidFill>
              </a:ln>
              <a:effectLst/>
            </c:spPr>
          </c:marker>
          <c:dLbls>
            <c:numFmt formatCode="#,##0.00\ &quot;år&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B050"/>
                    </a:solidFill>
                    <a:latin typeface="+mn-lt"/>
                    <a:ea typeface="+mn-ea"/>
                    <a:cs typeface="+mn-cs"/>
                  </a:defRPr>
                </a:pPr>
                <a:endParaRPr lang="da-DK"/>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Grafpunkter!$G$5</c:f>
              <c:numCache>
                <c:formatCode>#,##0.00</c:formatCode>
                <c:ptCount val="1"/>
                <c:pt idx="0">
                  <c:v>-10</c:v>
                </c:pt>
              </c:numCache>
            </c:numRef>
          </c:xVal>
          <c:yVal>
            <c:numRef>
              <c:f>Grafpunkter!$H$5</c:f>
              <c:numCache>
                <c:formatCode>#,##0.00</c:formatCode>
                <c:ptCount val="1"/>
                <c:pt idx="0">
                  <c:v>0</c:v>
                </c:pt>
              </c:numCache>
            </c:numRef>
          </c:yVal>
          <c:smooth val="0"/>
          <c:extLst>
            <c:ext xmlns:c16="http://schemas.microsoft.com/office/drawing/2014/chart" uri="{C3380CC4-5D6E-409C-BE32-E72D297353CC}">
              <c16:uniqueId val="{00000002-487A-4D20-BDA6-3AE1C1CF4014}"/>
            </c:ext>
          </c:extLst>
        </c:ser>
        <c:ser>
          <c:idx val="3"/>
          <c:order val="3"/>
          <c:tx>
            <c:strRef>
              <c:f>Grafpunkter!$I$3</c:f>
              <c:strCache>
                <c:ptCount val="1"/>
                <c:pt idx="0">
                  <c:v>LCA Urentabel</c:v>
                </c:pt>
              </c:strCache>
            </c:strRef>
          </c:tx>
          <c:spPr>
            <a:ln w="19050" cap="rnd">
              <a:noFill/>
              <a:round/>
            </a:ln>
            <a:effectLst/>
          </c:spPr>
          <c:marker>
            <c:symbol val="circle"/>
            <c:size val="9"/>
            <c:spPr>
              <a:noFill/>
              <a:ln w="19050">
                <a:solidFill>
                  <a:srgbClr val="FF0000"/>
                </a:solidFill>
              </a:ln>
              <a:effectLst/>
            </c:spPr>
          </c:marker>
          <c:dLbls>
            <c:numFmt formatCode="#,##0.00\ &quot;år&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da-DK"/>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Grafpunkter!$I$5</c:f>
              <c:numCache>
                <c:formatCode>#,##0.00</c:formatCode>
                <c:ptCount val="1"/>
                <c:pt idx="0">
                  <c:v>-10</c:v>
                </c:pt>
              </c:numCache>
            </c:numRef>
          </c:xVal>
          <c:yVal>
            <c:numRef>
              <c:f>Grafpunkter!$J$5</c:f>
              <c:numCache>
                <c:formatCode>#,##0.00</c:formatCode>
                <c:ptCount val="1"/>
                <c:pt idx="0">
                  <c:v>0</c:v>
                </c:pt>
              </c:numCache>
            </c:numRef>
          </c:yVal>
          <c:smooth val="0"/>
          <c:extLst>
            <c:ext xmlns:c16="http://schemas.microsoft.com/office/drawing/2014/chart" uri="{C3380CC4-5D6E-409C-BE32-E72D297353CC}">
              <c16:uniqueId val="{00000003-487A-4D20-BDA6-3AE1C1CF4014}"/>
            </c:ext>
          </c:extLst>
        </c:ser>
        <c:dLbls>
          <c:showLegendKey val="0"/>
          <c:showVal val="0"/>
          <c:showCatName val="0"/>
          <c:showSerName val="0"/>
          <c:showPercent val="0"/>
          <c:showBubbleSize val="0"/>
        </c:dLbls>
        <c:axId val="252704704"/>
        <c:axId val="252698464"/>
      </c:scatterChart>
      <c:valAx>
        <c:axId val="252704704"/>
        <c:scaling>
          <c:orientation val="minMax"/>
          <c:min val="0"/>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sz="1000" b="1" i="0" u="none" strike="noStrike" kern="1200" baseline="0">
                    <a:solidFill>
                      <a:sysClr val="windowText" lastClr="000000">
                        <a:lumMod val="65000"/>
                        <a:lumOff val="35000"/>
                      </a:sysClr>
                    </a:solidFill>
                  </a:rPr>
                  <a:t>Tidsforløb</a:t>
                </a:r>
                <a:r>
                  <a:rPr lang="da-DK" sz="1000" b="0" i="0" u="none" strike="noStrike" kern="1200" baseline="0">
                    <a:solidFill>
                      <a:sysClr val="windowText" lastClr="000000">
                        <a:lumMod val="65000"/>
                        <a:lumOff val="35000"/>
                      </a:sysClr>
                    </a:solidFill>
                  </a:rPr>
                  <a:t>   [år]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252698464"/>
        <c:crosses val="autoZero"/>
        <c:crossBetween val="midCat"/>
      </c:valAx>
      <c:valAx>
        <c:axId val="252698464"/>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sz="1000" b="1" i="0" u="none" strike="noStrike" kern="1200" baseline="0">
                    <a:solidFill>
                      <a:sysClr val="windowText" lastClr="000000">
                        <a:lumMod val="65000"/>
                        <a:lumOff val="35000"/>
                      </a:sysClr>
                    </a:solidFill>
                  </a:rPr>
                  <a:t>Samlet klimapåvirkning   </a:t>
                </a:r>
                <a:r>
                  <a:rPr lang="da-DK" sz="1000" b="0" i="0" u="none" strike="noStrike" kern="1200" baseline="0">
                    <a:solidFill>
                      <a:sysClr val="windowText" lastClr="000000">
                        <a:lumMod val="65000"/>
                        <a:lumOff val="35000"/>
                      </a:sysClr>
                    </a:solidFill>
                  </a:rPr>
                  <a:t>[kg CO₂e/m² facade]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252704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Grafpunkter!$B$3</c:f>
              <c:strCache>
                <c:ptCount val="1"/>
                <c:pt idx="0">
                  <c:v>Nettoemission_Klimafacade</c:v>
                </c:pt>
              </c:strCache>
            </c:strRef>
          </c:tx>
          <c:spPr>
            <a:ln w="19050" cap="rnd">
              <a:solidFill>
                <a:srgbClr val="0A2DF2"/>
              </a:solidFill>
              <a:round/>
            </a:ln>
            <a:effectLst/>
          </c:spPr>
          <c:marker>
            <c:symbol val="none"/>
          </c:marker>
          <c:xVal>
            <c:numRef>
              <c:f>Grafpunkter!$A$4:$A$84</c:f>
              <c:numCache>
                <c:formatCode>General</c:formatCod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Grafpunkter!$B$4:$B$84</c:f>
              <c:numCache>
                <c:formatCode>#,##0.00</c:formatCode>
                <c:ptCount val="81"/>
                <c:pt idx="0">
                  <c:v>0</c:v>
                </c:pt>
              </c:numCache>
            </c:numRef>
          </c:yVal>
          <c:smooth val="0"/>
          <c:extLst>
            <c:ext xmlns:c16="http://schemas.microsoft.com/office/drawing/2014/chart" uri="{C3380CC4-5D6E-409C-BE32-E72D297353CC}">
              <c16:uniqueId val="{00000000-1A7E-4235-BB7C-FD8BA866A4F6}"/>
            </c:ext>
          </c:extLst>
        </c:ser>
        <c:ser>
          <c:idx val="1"/>
          <c:order val="1"/>
          <c:tx>
            <c:strRef>
              <c:f>Grafpunkter!$C$3</c:f>
              <c:strCache>
                <c:ptCount val="1"/>
                <c:pt idx="0">
                  <c:v>Vedligehold_Eksisterende</c:v>
                </c:pt>
              </c:strCache>
            </c:strRef>
          </c:tx>
          <c:spPr>
            <a:ln w="19050" cap="rnd">
              <a:solidFill>
                <a:srgbClr val="D72232"/>
              </a:solidFill>
              <a:prstDash val="sysDash"/>
              <a:round/>
            </a:ln>
            <a:effectLst/>
          </c:spPr>
          <c:marker>
            <c:symbol val="none"/>
          </c:marker>
          <c:xVal>
            <c:numRef>
              <c:f>Grafpunkter!$A$4:$A$84</c:f>
              <c:numCache>
                <c:formatCode>General</c:formatCod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Grafpunkter!$C$4:$C$84</c:f>
              <c:numCache>
                <c:formatCode>#,##0.00</c:formatCode>
                <c:ptCount val="81"/>
                <c:pt idx="0">
                  <c:v>0</c:v>
                </c:pt>
              </c:numCache>
            </c:numRef>
          </c:yVal>
          <c:smooth val="0"/>
          <c:extLst>
            <c:ext xmlns:c16="http://schemas.microsoft.com/office/drawing/2014/chart" uri="{C3380CC4-5D6E-409C-BE32-E72D297353CC}">
              <c16:uniqueId val="{00000001-1A7E-4235-BB7C-FD8BA866A4F6}"/>
            </c:ext>
          </c:extLst>
        </c:ser>
        <c:ser>
          <c:idx val="2"/>
          <c:order val="2"/>
          <c:tx>
            <c:strRef>
              <c:f>Grafpunkter!$G$3</c:f>
              <c:strCache>
                <c:ptCount val="1"/>
                <c:pt idx="0">
                  <c:v>LCA Rentabel</c:v>
                </c:pt>
              </c:strCache>
            </c:strRef>
          </c:tx>
          <c:spPr>
            <a:ln w="19050" cap="rnd">
              <a:noFill/>
              <a:round/>
            </a:ln>
            <a:effectLst/>
          </c:spPr>
          <c:marker>
            <c:symbol val="circle"/>
            <c:size val="9"/>
            <c:spPr>
              <a:noFill/>
              <a:ln w="19050">
                <a:solidFill>
                  <a:srgbClr val="00B050"/>
                </a:solidFill>
              </a:ln>
              <a:effectLst/>
            </c:spPr>
          </c:marker>
          <c:dLbls>
            <c:numFmt formatCode="#,##0.00\ &quot;år&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B050"/>
                    </a:solidFill>
                    <a:latin typeface="+mn-lt"/>
                    <a:ea typeface="+mn-ea"/>
                    <a:cs typeface="+mn-cs"/>
                  </a:defRPr>
                </a:pPr>
                <a:endParaRPr lang="da-DK"/>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Grafpunkter!$G$5</c:f>
              <c:numCache>
                <c:formatCode>#,##0.00</c:formatCode>
                <c:ptCount val="1"/>
                <c:pt idx="0">
                  <c:v>-10</c:v>
                </c:pt>
              </c:numCache>
            </c:numRef>
          </c:xVal>
          <c:yVal>
            <c:numRef>
              <c:f>Grafpunkter!$H$5</c:f>
              <c:numCache>
                <c:formatCode>#,##0.00</c:formatCode>
                <c:ptCount val="1"/>
                <c:pt idx="0">
                  <c:v>0</c:v>
                </c:pt>
              </c:numCache>
            </c:numRef>
          </c:yVal>
          <c:smooth val="0"/>
          <c:extLst>
            <c:ext xmlns:c16="http://schemas.microsoft.com/office/drawing/2014/chart" uri="{C3380CC4-5D6E-409C-BE32-E72D297353CC}">
              <c16:uniqueId val="{00000003-1A7E-4235-BB7C-FD8BA866A4F6}"/>
            </c:ext>
          </c:extLst>
        </c:ser>
        <c:ser>
          <c:idx val="3"/>
          <c:order val="3"/>
          <c:tx>
            <c:strRef>
              <c:f>Grafpunkter!$I$3</c:f>
              <c:strCache>
                <c:ptCount val="1"/>
                <c:pt idx="0">
                  <c:v>LCA Urentabel</c:v>
                </c:pt>
              </c:strCache>
            </c:strRef>
          </c:tx>
          <c:spPr>
            <a:ln w="19050" cap="rnd">
              <a:noFill/>
              <a:round/>
            </a:ln>
            <a:effectLst/>
          </c:spPr>
          <c:marker>
            <c:symbol val="circle"/>
            <c:size val="9"/>
            <c:spPr>
              <a:noFill/>
              <a:ln w="19050">
                <a:solidFill>
                  <a:srgbClr val="FF0000"/>
                </a:solidFill>
              </a:ln>
              <a:effectLst/>
            </c:spPr>
          </c:marker>
          <c:dLbls>
            <c:numFmt formatCode="#,##0.00\ &quot;år&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da-DK"/>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Grafpunkter!$I$5</c:f>
              <c:numCache>
                <c:formatCode>#,##0.00</c:formatCode>
                <c:ptCount val="1"/>
                <c:pt idx="0">
                  <c:v>-10</c:v>
                </c:pt>
              </c:numCache>
            </c:numRef>
          </c:xVal>
          <c:yVal>
            <c:numRef>
              <c:f>Grafpunkter!$J$5</c:f>
              <c:numCache>
                <c:formatCode>#,##0.00</c:formatCode>
                <c:ptCount val="1"/>
                <c:pt idx="0">
                  <c:v>0</c:v>
                </c:pt>
              </c:numCache>
            </c:numRef>
          </c:yVal>
          <c:smooth val="0"/>
          <c:extLst>
            <c:ext xmlns:c16="http://schemas.microsoft.com/office/drawing/2014/chart" uri="{C3380CC4-5D6E-409C-BE32-E72D297353CC}">
              <c16:uniqueId val="{0000000E-1A7E-4235-BB7C-FD8BA866A4F6}"/>
            </c:ext>
          </c:extLst>
        </c:ser>
        <c:dLbls>
          <c:showLegendKey val="0"/>
          <c:showVal val="0"/>
          <c:showCatName val="0"/>
          <c:showSerName val="0"/>
          <c:showPercent val="0"/>
          <c:showBubbleSize val="0"/>
        </c:dLbls>
        <c:axId val="252704704"/>
        <c:axId val="252698464"/>
      </c:scatterChart>
      <c:valAx>
        <c:axId val="252704704"/>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sz="1000" b="1" i="0" u="none" strike="noStrike" kern="1200" baseline="0">
                    <a:solidFill>
                      <a:sysClr val="windowText" lastClr="000000">
                        <a:lumMod val="65000"/>
                        <a:lumOff val="35000"/>
                      </a:sysClr>
                    </a:solidFill>
                  </a:rPr>
                  <a:t>Tidsforløb</a:t>
                </a:r>
                <a:r>
                  <a:rPr lang="da-DK" sz="1000" b="0" i="0" u="none" strike="noStrike" kern="1200" baseline="0">
                    <a:solidFill>
                      <a:sysClr val="windowText" lastClr="000000">
                        <a:lumMod val="65000"/>
                        <a:lumOff val="35000"/>
                      </a:sysClr>
                    </a:solidFill>
                  </a:rPr>
                  <a:t>   [år]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252698464"/>
        <c:crosses val="autoZero"/>
        <c:crossBetween val="midCat"/>
      </c:valAx>
      <c:valAx>
        <c:axId val="252698464"/>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sz="1000" b="1" i="0" u="none" strike="noStrike" kern="1200" baseline="0">
                    <a:solidFill>
                      <a:sysClr val="windowText" lastClr="000000">
                        <a:lumMod val="65000"/>
                        <a:lumOff val="35000"/>
                      </a:sysClr>
                    </a:solidFill>
                  </a:rPr>
                  <a:t>Samlet klimapåvirkning   </a:t>
                </a:r>
                <a:r>
                  <a:rPr lang="da-DK" sz="1000" b="0" i="0" u="none" strike="noStrike" kern="1200" baseline="0">
                    <a:solidFill>
                      <a:sysClr val="windowText" lastClr="000000">
                        <a:lumMod val="65000"/>
                        <a:lumOff val="35000"/>
                      </a:sysClr>
                    </a:solidFill>
                  </a:rPr>
                  <a:t>[kg CO₂e/m² facade]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25270470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Grafpunkter!$D$3</c:f>
              <c:strCache>
                <c:ptCount val="1"/>
                <c:pt idx="0">
                  <c:v>Nutidsværdi_Klimafacade</c:v>
                </c:pt>
              </c:strCache>
            </c:strRef>
          </c:tx>
          <c:spPr>
            <a:ln w="19050" cap="rnd">
              <a:solidFill>
                <a:srgbClr val="0A2DF2"/>
              </a:solidFill>
              <a:round/>
            </a:ln>
            <a:effectLst/>
          </c:spPr>
          <c:marker>
            <c:symbol val="none"/>
          </c:marker>
          <c:xVal>
            <c:numRef>
              <c:f>Grafpunkter!$A$4:$A$84</c:f>
              <c:numCache>
                <c:formatCode>General</c:formatCod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Grafpunkter!$D$4:$D$84</c:f>
              <c:numCache>
                <c:formatCode>#,##0.00</c:formatCode>
                <c:ptCount val="81"/>
                <c:pt idx="0">
                  <c:v>0</c:v>
                </c:pt>
              </c:numCache>
            </c:numRef>
          </c:yVal>
          <c:smooth val="0"/>
          <c:extLst>
            <c:ext xmlns:c16="http://schemas.microsoft.com/office/drawing/2014/chart" uri="{C3380CC4-5D6E-409C-BE32-E72D297353CC}">
              <c16:uniqueId val="{00000000-DE7D-471C-9A26-E975F811038B}"/>
            </c:ext>
          </c:extLst>
        </c:ser>
        <c:ser>
          <c:idx val="1"/>
          <c:order val="1"/>
          <c:tx>
            <c:strRef>
              <c:f>Grafpunkter!$E$3</c:f>
              <c:strCache>
                <c:ptCount val="1"/>
                <c:pt idx="0">
                  <c:v>Nutidsværdi_Eksisterende</c:v>
                </c:pt>
              </c:strCache>
            </c:strRef>
          </c:tx>
          <c:spPr>
            <a:ln w="19050" cap="rnd">
              <a:solidFill>
                <a:srgbClr val="C00000"/>
              </a:solidFill>
              <a:prstDash val="sysDash"/>
              <a:round/>
            </a:ln>
            <a:effectLst/>
          </c:spPr>
          <c:marker>
            <c:symbol val="none"/>
          </c:marker>
          <c:xVal>
            <c:numRef>
              <c:f>Grafpunkter!$A$4:$A$84</c:f>
              <c:numCache>
                <c:formatCode>General</c:formatCode>
                <c:ptCount val="8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numCache>
            </c:numRef>
          </c:xVal>
          <c:yVal>
            <c:numRef>
              <c:f>Grafpunkter!$E$4:$E$84</c:f>
              <c:numCache>
                <c:formatCode>#,##0.00</c:formatCode>
                <c:ptCount val="81"/>
                <c:pt idx="0">
                  <c:v>0</c:v>
                </c:pt>
              </c:numCache>
            </c:numRef>
          </c:yVal>
          <c:smooth val="0"/>
          <c:extLst>
            <c:ext xmlns:c16="http://schemas.microsoft.com/office/drawing/2014/chart" uri="{C3380CC4-5D6E-409C-BE32-E72D297353CC}">
              <c16:uniqueId val="{00000001-DE7D-471C-9A26-E975F811038B}"/>
            </c:ext>
          </c:extLst>
        </c:ser>
        <c:ser>
          <c:idx val="2"/>
          <c:order val="2"/>
          <c:tx>
            <c:strRef>
              <c:f>Grafpunkter!$L$3</c:f>
              <c:strCache>
                <c:ptCount val="1"/>
                <c:pt idx="0">
                  <c:v>LCC Rentabel</c:v>
                </c:pt>
              </c:strCache>
            </c:strRef>
          </c:tx>
          <c:spPr>
            <a:ln w="19050" cap="rnd">
              <a:noFill/>
              <a:round/>
            </a:ln>
            <a:effectLst/>
          </c:spPr>
          <c:marker>
            <c:symbol val="circle"/>
            <c:size val="9"/>
            <c:spPr>
              <a:noFill/>
              <a:ln w="19050">
                <a:solidFill>
                  <a:srgbClr val="00B050"/>
                </a:solidFill>
              </a:ln>
              <a:effectLst/>
            </c:spPr>
          </c:marker>
          <c:dLbls>
            <c:dLbl>
              <c:idx val="0"/>
              <c:numFmt formatCode="#,##0.00\ &quot;år&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B050"/>
                      </a:solidFill>
                      <a:latin typeface="+mn-lt"/>
                      <a:ea typeface="+mn-ea"/>
                      <a:cs typeface="+mn-cs"/>
                    </a:defRPr>
                  </a:pPr>
                  <a:endParaRPr lang="da-DK"/>
                </a:p>
              </c:txPr>
              <c:dLblPos val="t"/>
              <c:showLegendKey val="0"/>
              <c:showVal val="0"/>
              <c:showCatName val="1"/>
              <c:showSerName val="0"/>
              <c:showPercent val="0"/>
              <c:showBubbleSize val="0"/>
              <c:extLst>
                <c:ext xmlns:c16="http://schemas.microsoft.com/office/drawing/2014/chart" uri="{C3380CC4-5D6E-409C-BE32-E72D297353CC}">
                  <c16:uniqueId val="{00000004-DE7D-471C-9A26-E975F811038B}"/>
                </c:ext>
              </c:extLst>
            </c:dLbl>
            <c:numFmt formatCode="#,##0.00\ &quot;år&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Grafpunkter!$L$5</c:f>
              <c:numCache>
                <c:formatCode>#,##0.00</c:formatCode>
                <c:ptCount val="1"/>
                <c:pt idx="0">
                  <c:v>-10</c:v>
                </c:pt>
              </c:numCache>
            </c:numRef>
          </c:xVal>
          <c:yVal>
            <c:numRef>
              <c:f>Grafpunkter!$M$5</c:f>
              <c:numCache>
                <c:formatCode>#,##0.00</c:formatCode>
                <c:ptCount val="1"/>
                <c:pt idx="0">
                  <c:v>0</c:v>
                </c:pt>
              </c:numCache>
            </c:numRef>
          </c:yVal>
          <c:smooth val="0"/>
          <c:extLst>
            <c:ext xmlns:c16="http://schemas.microsoft.com/office/drawing/2014/chart" uri="{C3380CC4-5D6E-409C-BE32-E72D297353CC}">
              <c16:uniqueId val="{00000002-DE7D-471C-9A26-E975F811038B}"/>
            </c:ext>
          </c:extLst>
        </c:ser>
        <c:ser>
          <c:idx val="3"/>
          <c:order val="3"/>
          <c:tx>
            <c:strRef>
              <c:f>Grafpunkter!$N$3</c:f>
              <c:strCache>
                <c:ptCount val="1"/>
                <c:pt idx="0">
                  <c:v>LCC Urentabel</c:v>
                </c:pt>
              </c:strCache>
            </c:strRef>
          </c:tx>
          <c:spPr>
            <a:ln w="19050" cap="rnd">
              <a:noFill/>
              <a:round/>
            </a:ln>
            <a:effectLst/>
          </c:spPr>
          <c:marker>
            <c:symbol val="circle"/>
            <c:size val="9"/>
            <c:spPr>
              <a:noFill/>
              <a:ln w="19050">
                <a:solidFill>
                  <a:srgbClr val="FF0000"/>
                </a:solidFill>
              </a:ln>
              <a:effectLst/>
            </c:spPr>
          </c:marker>
          <c:dLbls>
            <c:numFmt formatCode="#,##0.00\ &quot;år&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da-DK"/>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Grafpunkter!$N$5</c:f>
              <c:numCache>
                <c:formatCode>#,##0.00</c:formatCode>
                <c:ptCount val="1"/>
                <c:pt idx="0">
                  <c:v>-10</c:v>
                </c:pt>
              </c:numCache>
            </c:numRef>
          </c:xVal>
          <c:yVal>
            <c:numRef>
              <c:f>Grafpunkter!$O$5</c:f>
              <c:numCache>
                <c:formatCode>#,##0.00</c:formatCode>
                <c:ptCount val="1"/>
                <c:pt idx="0">
                  <c:v>0</c:v>
                </c:pt>
              </c:numCache>
            </c:numRef>
          </c:yVal>
          <c:smooth val="0"/>
          <c:extLst>
            <c:ext xmlns:c16="http://schemas.microsoft.com/office/drawing/2014/chart" uri="{C3380CC4-5D6E-409C-BE32-E72D297353CC}">
              <c16:uniqueId val="{00000003-DE7D-471C-9A26-E975F811038B}"/>
            </c:ext>
          </c:extLst>
        </c:ser>
        <c:dLbls>
          <c:showLegendKey val="0"/>
          <c:showVal val="0"/>
          <c:showCatName val="0"/>
          <c:showSerName val="0"/>
          <c:showPercent val="0"/>
          <c:showBubbleSize val="0"/>
        </c:dLbls>
        <c:axId val="1233614864"/>
        <c:axId val="1233640784"/>
      </c:scatterChart>
      <c:valAx>
        <c:axId val="1233614864"/>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sz="1000" b="1" i="0" u="none" strike="noStrike" kern="1200" baseline="0">
                    <a:solidFill>
                      <a:sysClr val="windowText" lastClr="000000">
                        <a:lumMod val="65000"/>
                        <a:lumOff val="35000"/>
                      </a:sysClr>
                    </a:solidFill>
                  </a:rPr>
                  <a:t>Tidsforløb</a:t>
                </a:r>
                <a:r>
                  <a:rPr lang="da-DK" sz="1000" b="0" i="0" u="none" strike="noStrike" kern="1200" baseline="0">
                    <a:solidFill>
                      <a:sysClr val="windowText" lastClr="000000">
                        <a:lumMod val="65000"/>
                        <a:lumOff val="35000"/>
                      </a:sysClr>
                    </a:solidFill>
                  </a:rPr>
                  <a:t>   [år]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233640784"/>
        <c:crosses val="autoZero"/>
        <c:crossBetween val="midCat"/>
      </c:valAx>
      <c:valAx>
        <c:axId val="1233640784"/>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000" b="1" i="0" u="none" strike="noStrike" kern="1200" baseline="0">
                    <a:solidFill>
                      <a:sysClr val="windowText" lastClr="000000">
                        <a:lumMod val="65000"/>
                        <a:lumOff val="35000"/>
                      </a:sysClr>
                    </a:solidFill>
                  </a:rPr>
                  <a:t>Samlet nutidsværdi  </a:t>
                </a:r>
                <a:r>
                  <a:rPr lang="en-GB" sz="1000" b="0" i="0" u="none" strike="noStrike" kern="1200" baseline="0">
                    <a:solidFill>
                      <a:sysClr val="windowText" lastClr="000000">
                        <a:lumMod val="65000"/>
                        <a:lumOff val="35000"/>
                      </a:sysClr>
                    </a:solidFill>
                  </a:rPr>
                  <a:t> [kr/m</a:t>
                </a:r>
                <a:r>
                  <a:rPr lang="da-DK" sz="800" b="0" i="0" u="none" strike="noStrike" kern="1200" baseline="0">
                    <a:solidFill>
                      <a:sysClr val="windowText" lastClr="000000">
                        <a:lumMod val="65000"/>
                        <a:lumOff val="35000"/>
                      </a:sysClr>
                    </a:solidFill>
                  </a:rPr>
                  <a:t>²</a:t>
                </a:r>
                <a:r>
                  <a:rPr lang="en-GB" sz="1000" b="0" i="0" u="none" strike="noStrike" kern="1200" baseline="0">
                    <a:solidFill>
                      <a:sysClr val="windowText" lastClr="000000">
                        <a:lumMod val="65000"/>
                        <a:lumOff val="35000"/>
                      </a:sysClr>
                    </a:solidFill>
                  </a:rPr>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1233614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931544</xdr:colOff>
      <xdr:row>6</xdr:row>
      <xdr:rowOff>38100</xdr:rowOff>
    </xdr:from>
    <xdr:to>
      <xdr:col>2</xdr:col>
      <xdr:colOff>1714499</xdr:colOff>
      <xdr:row>14</xdr:row>
      <xdr:rowOff>44450</xdr:rowOff>
    </xdr:to>
    <xdr:pic>
      <xdr:nvPicPr>
        <xdr:cNvPr id="4" name="Picture 3" descr="Viegand Maagøe logo">
          <a:extLst>
            <a:ext uri="{FF2B5EF4-FFF2-40B4-BE49-F238E27FC236}">
              <a16:creationId xmlns:a16="http://schemas.microsoft.com/office/drawing/2014/main" id="{32D3B60C-88D5-4E09-829D-1466B26A6175}"/>
            </a:ext>
          </a:extLst>
        </xdr:cNvPr>
        <xdr:cNvPicPr>
          <a:picLocks noChangeAspect="1"/>
        </xdr:cNvPicPr>
      </xdr:nvPicPr>
      <xdr:blipFill>
        <a:blip xmlns:r="http://schemas.openxmlformats.org/officeDocument/2006/relationships" r:embed="rId1"/>
        <a:stretch>
          <a:fillRect/>
        </a:stretch>
      </xdr:blipFill>
      <xdr:spPr>
        <a:xfrm>
          <a:off x="1420494" y="1530350"/>
          <a:ext cx="2948305" cy="1479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566044</xdr:colOff>
      <xdr:row>52</xdr:row>
      <xdr:rowOff>9268</xdr:rowOff>
    </xdr:from>
    <xdr:to>
      <xdr:col>10</xdr:col>
      <xdr:colOff>511175</xdr:colOff>
      <xdr:row>72</xdr:row>
      <xdr:rowOff>130174</xdr:rowOff>
    </xdr:to>
    <xdr:pic>
      <xdr:nvPicPr>
        <xdr:cNvPr id="75" name="Picture 74" descr="Illustration af ydervæg og komponenterne i en Klimafacade+">
          <a:extLst>
            <a:ext uri="{FF2B5EF4-FFF2-40B4-BE49-F238E27FC236}">
              <a16:creationId xmlns:a16="http://schemas.microsoft.com/office/drawing/2014/main" id="{A1EB5530-E40C-031D-95BC-BA82DE8B0B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842269" y="10448668"/>
          <a:ext cx="3939281" cy="3762631"/>
        </a:xfrm>
        <a:prstGeom prst="rect">
          <a:avLst/>
        </a:prstGeom>
      </xdr:spPr>
    </xdr:pic>
    <xdr:clientData/>
  </xdr:twoCellAnchor>
  <xdr:twoCellAnchor>
    <xdr:from>
      <xdr:col>13</xdr:col>
      <xdr:colOff>0</xdr:colOff>
      <xdr:row>30</xdr:row>
      <xdr:rowOff>0</xdr:rowOff>
    </xdr:from>
    <xdr:to>
      <xdr:col>21</xdr:col>
      <xdr:colOff>104075</xdr:colOff>
      <xdr:row>54</xdr:row>
      <xdr:rowOff>0</xdr:rowOff>
    </xdr:to>
    <xdr:graphicFrame macro="">
      <xdr:nvGraphicFramePr>
        <xdr:cNvPr id="3" name="Chart 2" descr="LCC-graf">
          <a:extLst>
            <a:ext uri="{FF2B5EF4-FFF2-40B4-BE49-F238E27FC236}">
              <a16:creationId xmlns:a16="http://schemas.microsoft.com/office/drawing/2014/main" id="{384F19DC-6D2B-4C18-AC5B-CB1C42E40D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4</xdr:row>
      <xdr:rowOff>0</xdr:rowOff>
    </xdr:from>
    <xdr:to>
      <xdr:col>21</xdr:col>
      <xdr:colOff>111125</xdr:colOff>
      <xdr:row>28</xdr:row>
      <xdr:rowOff>0</xdr:rowOff>
    </xdr:to>
    <xdr:graphicFrame macro="">
      <xdr:nvGraphicFramePr>
        <xdr:cNvPr id="5" name="Chart 4" descr="LCA-graf">
          <a:extLst>
            <a:ext uri="{FF2B5EF4-FFF2-40B4-BE49-F238E27FC236}">
              <a16:creationId xmlns:a16="http://schemas.microsoft.com/office/drawing/2014/main" id="{1CBDECE4-3355-4D5D-AD96-48ADD9BCEF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179868</xdr:colOff>
      <xdr:row>1</xdr:row>
      <xdr:rowOff>478</xdr:rowOff>
    </xdr:from>
    <xdr:to>
      <xdr:col>13</xdr:col>
      <xdr:colOff>30269</xdr:colOff>
      <xdr:row>2</xdr:row>
      <xdr:rowOff>2272</xdr:rowOff>
    </xdr:to>
    <xdr:sp macro="" textlink="">
      <xdr:nvSpPr>
        <xdr:cNvPr id="25" name="Isosceles Triangle 4" descr="Pil som peger mod resultaterne">
          <a:extLst>
            <a:ext uri="{FF2B5EF4-FFF2-40B4-BE49-F238E27FC236}">
              <a16:creationId xmlns:a16="http://schemas.microsoft.com/office/drawing/2014/main" id="{3B3242FB-0382-4D0B-BA21-305B2A6B273B}"/>
            </a:ext>
          </a:extLst>
        </xdr:cNvPr>
        <xdr:cNvSpPr/>
      </xdr:nvSpPr>
      <xdr:spPr>
        <a:xfrm rot="5400000">
          <a:off x="7387299" y="184878"/>
          <a:ext cx="320370" cy="244316"/>
        </a:xfrm>
        <a:prstGeom prst="triangle">
          <a:avLst/>
        </a:prstGeom>
        <a:solidFill>
          <a:srgbClr val="F5F3E8"/>
        </a:solid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11</xdr:col>
      <xdr:colOff>0</xdr:colOff>
      <xdr:row>1</xdr:row>
      <xdr:rowOff>3699</xdr:rowOff>
    </xdr:from>
    <xdr:to>
      <xdr:col>12</xdr:col>
      <xdr:colOff>54531</xdr:colOff>
      <xdr:row>2</xdr:row>
      <xdr:rowOff>2168</xdr:rowOff>
    </xdr:to>
    <xdr:sp macro="" textlink="">
      <xdr:nvSpPr>
        <xdr:cNvPr id="26" name="Isosceles Triangle 2">
          <a:extLst>
            <a:ext uri="{FF2B5EF4-FFF2-40B4-BE49-F238E27FC236}">
              <a16:creationId xmlns:a16="http://schemas.microsoft.com/office/drawing/2014/main" id="{06875F6A-A584-754B-3D90-4D596DD32FAC}"/>
            </a:ext>
            <a:ext uri="{C183D7F6-B498-43B3-948B-1728B52AA6E4}">
              <adec:decorative xmlns:adec="http://schemas.microsoft.com/office/drawing/2017/decorative" val="1"/>
            </a:ext>
          </a:extLst>
        </xdr:cNvPr>
        <xdr:cNvSpPr/>
      </xdr:nvSpPr>
      <xdr:spPr>
        <a:xfrm rot="5400000">
          <a:off x="7205360" y="188202"/>
          <a:ext cx="315969" cy="241373"/>
        </a:xfrm>
        <a:prstGeom prst="triangle">
          <a:avLst/>
        </a:prstGeom>
        <a:solidFill>
          <a:srgbClr val="0DC684"/>
        </a:solid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28</xdr:col>
      <xdr:colOff>179868</xdr:colOff>
      <xdr:row>1</xdr:row>
      <xdr:rowOff>478</xdr:rowOff>
    </xdr:from>
    <xdr:to>
      <xdr:col>30</xdr:col>
      <xdr:colOff>30269</xdr:colOff>
      <xdr:row>2</xdr:row>
      <xdr:rowOff>2272</xdr:rowOff>
    </xdr:to>
    <xdr:sp macro="" textlink="">
      <xdr:nvSpPr>
        <xdr:cNvPr id="23" name="Isosceles Triangle 6">
          <a:extLst>
            <a:ext uri="{FF2B5EF4-FFF2-40B4-BE49-F238E27FC236}">
              <a16:creationId xmlns:a16="http://schemas.microsoft.com/office/drawing/2014/main" id="{7CE5F3A8-31C4-40E9-83E3-AE6992A8BC0D}"/>
            </a:ext>
            <a:ext uri="{C183D7F6-B498-43B3-948B-1728B52AA6E4}">
              <adec:decorative xmlns:adec="http://schemas.microsoft.com/office/drawing/2017/decorative" val="1"/>
            </a:ext>
          </a:extLst>
        </xdr:cNvPr>
        <xdr:cNvSpPr/>
      </xdr:nvSpPr>
      <xdr:spPr>
        <a:xfrm rot="5400000">
          <a:off x="7390797" y="184124"/>
          <a:ext cx="319294" cy="244101"/>
        </a:xfrm>
        <a:prstGeom prst="triangle">
          <a:avLst/>
        </a:prstGeom>
        <a:solidFill>
          <a:srgbClr val="F5F3E8"/>
        </a:solid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27</xdr:col>
      <xdr:colOff>658863</xdr:colOff>
      <xdr:row>1</xdr:row>
      <xdr:rowOff>3699</xdr:rowOff>
    </xdr:from>
    <xdr:to>
      <xdr:col>29</xdr:col>
      <xdr:colOff>54531</xdr:colOff>
      <xdr:row>2</xdr:row>
      <xdr:rowOff>2168</xdr:rowOff>
    </xdr:to>
    <xdr:sp macro="" textlink="">
      <xdr:nvSpPr>
        <xdr:cNvPr id="27" name="Isosceles Triangle 8">
          <a:extLst>
            <a:ext uri="{FF2B5EF4-FFF2-40B4-BE49-F238E27FC236}">
              <a16:creationId xmlns:a16="http://schemas.microsoft.com/office/drawing/2014/main" id="{AF594907-079B-49AD-AEAC-6618CEBDD4C5}"/>
            </a:ext>
            <a:ext uri="{C183D7F6-B498-43B3-948B-1728B52AA6E4}">
              <adec:decorative xmlns:adec="http://schemas.microsoft.com/office/drawing/2017/decorative" val="1"/>
            </a:ext>
          </a:extLst>
        </xdr:cNvPr>
        <xdr:cNvSpPr/>
      </xdr:nvSpPr>
      <xdr:spPr>
        <a:xfrm rot="5400000">
          <a:off x="7207525" y="189212"/>
          <a:ext cx="315969" cy="237043"/>
        </a:xfrm>
        <a:prstGeom prst="triangle">
          <a:avLst/>
        </a:prstGeom>
        <a:solidFill>
          <a:srgbClr val="0F5641"/>
        </a:solid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20</xdr:col>
      <xdr:colOff>0</xdr:colOff>
      <xdr:row>4</xdr:row>
      <xdr:rowOff>34925</xdr:rowOff>
    </xdr:from>
    <xdr:to>
      <xdr:col>21</xdr:col>
      <xdr:colOff>276225</xdr:colOff>
      <xdr:row>27</xdr:row>
      <xdr:rowOff>180975</xdr:rowOff>
    </xdr:to>
    <xdr:sp macro="" textlink="">
      <xdr:nvSpPr>
        <xdr:cNvPr id="12" name="Rectangle 11">
          <a:extLst>
            <a:ext uri="{FF2B5EF4-FFF2-40B4-BE49-F238E27FC236}">
              <a16:creationId xmlns:a16="http://schemas.microsoft.com/office/drawing/2014/main" id="{0CC650F1-404D-4E33-8572-C19399E4B457}"/>
            </a:ext>
            <a:ext uri="{C183D7F6-B498-43B3-948B-1728B52AA6E4}">
              <adec:decorative xmlns:adec="http://schemas.microsoft.com/office/drawing/2017/decorative" val="1"/>
            </a:ext>
          </a:extLst>
        </xdr:cNvPr>
        <xdr:cNvSpPr/>
      </xdr:nvSpPr>
      <xdr:spPr>
        <a:xfrm>
          <a:off x="11039475" y="920750"/>
          <a:ext cx="800100" cy="4727575"/>
        </a:xfrm>
        <a:prstGeom prst="rect">
          <a:avLst/>
        </a:prstGeom>
        <a:gradFill flip="none" rotWithShape="1">
          <a:gsLst>
            <a:gs pos="0">
              <a:schemeClr val="bg1">
                <a:alpha val="0"/>
              </a:schemeClr>
            </a:gs>
            <a:gs pos="50000">
              <a:schemeClr val="bg1"/>
            </a:gs>
          </a:gsLst>
          <a:lin ang="0" scaled="1"/>
          <a:tileRect/>
        </a:gradFill>
        <a:ln>
          <a:solidFill>
            <a:schemeClr val="bg1">
              <a:alpha val="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21</xdr:col>
      <xdr:colOff>0</xdr:colOff>
      <xdr:row>4</xdr:row>
      <xdr:rowOff>0</xdr:rowOff>
    </xdr:from>
    <xdr:to>
      <xdr:col>29</xdr:col>
      <xdr:colOff>0</xdr:colOff>
      <xdr:row>28</xdr:row>
      <xdr:rowOff>0</xdr:rowOff>
    </xdr:to>
    <xdr:sp macro="" textlink="">
      <xdr:nvSpPr>
        <xdr:cNvPr id="13" name="TextBox 12">
          <a:extLst>
            <a:ext uri="{FF2B5EF4-FFF2-40B4-BE49-F238E27FC236}">
              <a16:creationId xmlns:a16="http://schemas.microsoft.com/office/drawing/2014/main" id="{281ECA59-114F-4C03-B9F1-CE6E32D404CC}"/>
            </a:ext>
          </a:extLst>
        </xdr:cNvPr>
        <xdr:cNvSpPr txBox="1"/>
      </xdr:nvSpPr>
      <xdr:spPr>
        <a:xfrm>
          <a:off x="11563350" y="866775"/>
          <a:ext cx="4810125" cy="455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180000" bIns="0" rtlCol="0" anchor="ctr" anchorCtr="0"/>
        <a:lstStyle/>
        <a:p>
          <a:r>
            <a:rPr lang="da-DK" sz="1000"/>
            <a:t>Grafen viser den samlede klimapåvirkning for den valgte løsning holdt op imod bevarelse af den eksisterende facade. X-aksen angiver det valgte tidsperspektiv, mens Y-aksen angiver den samlede klimapåvirkning pr. vertikal m² facade pr. år. </a:t>
          </a:r>
        </a:p>
        <a:p>
          <a:r>
            <a:rPr lang="da-DK" sz="2000">
              <a:solidFill>
                <a:srgbClr val="D72232"/>
              </a:solidFill>
            </a:rPr>
            <a:t>---</a:t>
          </a:r>
        </a:p>
        <a:p>
          <a:r>
            <a:rPr lang="da-DK" sz="1000">
              <a:solidFill>
                <a:srgbClr val="D72232"/>
              </a:solidFill>
            </a:rPr>
            <a:t>Viser klimapåvirkninger fra vedligehold ved at beholde den eksisterende facadeløsning, ved anskaffelse af nye materialer til reparationer.</a:t>
          </a:r>
        </a:p>
        <a:p>
          <a:r>
            <a:rPr lang="da-DK" sz="2000">
              <a:solidFill>
                <a:srgbClr val="0A2DF2"/>
              </a:solidFill>
            </a:rPr>
            <a:t>— </a:t>
          </a:r>
        </a:p>
        <a:p>
          <a:r>
            <a:rPr lang="da-DK" sz="1000">
              <a:solidFill>
                <a:srgbClr val="0A2DF2"/>
              </a:solidFill>
            </a:rPr>
            <a:t>Den samlede CO₂-udledning fra Klimafacade+. Enhver besparelse kommer med en udledning – grafen viser summen af to påvirkninger: 1) den indlejrede påvirkning fra materialerne anvendt i Klimafacade+, f.eks. i forbindelse med produktion, udskiftninger og endt levetid, og 2) klimapåvirkningen fra det fortrængte energiforbrug (energibesparelsen ift. den nuværende facadeløsning).</a:t>
          </a:r>
        </a:p>
        <a:p>
          <a:r>
            <a:rPr lang="da-DK" sz="2000" b="1"/>
            <a:t>×</a:t>
          </a:r>
        </a:p>
        <a:p>
          <a:r>
            <a:rPr lang="da-DK" sz="1000"/>
            <a:t>I skæringspunktet mellem de to linjer, bliver den ene løsning mere klimamæssigt rentabel end den anden ifht. de input, der er oplyst i trin 1-3. Flere skæringspunkter kan f.eks. skyldes udskiftninger, affaldshåndtering, eller -1/+1 reglen (for uddybning se metodebeskrivelse om LCA-beregningen). Hvis Klimafacade+ ikke er rentabel, kan du genbesøge inputfelterne til venstre, for at finde ud af, hvad der skal til for at gøre Klimafacade+ til en rentabel løsning.</a:t>
          </a:r>
        </a:p>
      </xdr:txBody>
    </xdr:sp>
    <xdr:clientData/>
  </xdr:twoCellAnchor>
  <xdr:twoCellAnchor>
    <xdr:from>
      <xdr:col>20</xdr:col>
      <xdr:colOff>0</xdr:colOff>
      <xdr:row>30</xdr:row>
      <xdr:rowOff>28575</xdr:rowOff>
    </xdr:from>
    <xdr:to>
      <xdr:col>21</xdr:col>
      <xdr:colOff>273050</xdr:colOff>
      <xdr:row>53</xdr:row>
      <xdr:rowOff>168275</xdr:rowOff>
    </xdr:to>
    <xdr:sp macro="" textlink="">
      <xdr:nvSpPr>
        <xdr:cNvPr id="19" name="Rectangle 18">
          <a:extLst>
            <a:ext uri="{FF2B5EF4-FFF2-40B4-BE49-F238E27FC236}">
              <a16:creationId xmlns:a16="http://schemas.microsoft.com/office/drawing/2014/main" id="{D2570B81-8D7A-4B67-8068-9E4DA3A97CE5}"/>
            </a:ext>
            <a:ext uri="{C183D7F6-B498-43B3-948B-1728B52AA6E4}">
              <adec:decorative xmlns:adec="http://schemas.microsoft.com/office/drawing/2017/decorative" val="1"/>
            </a:ext>
          </a:extLst>
        </xdr:cNvPr>
        <xdr:cNvSpPr/>
      </xdr:nvSpPr>
      <xdr:spPr>
        <a:xfrm>
          <a:off x="11039475" y="5867400"/>
          <a:ext cx="796925" cy="4445000"/>
        </a:xfrm>
        <a:prstGeom prst="rect">
          <a:avLst/>
        </a:prstGeom>
        <a:gradFill flip="none" rotWithShape="1">
          <a:gsLst>
            <a:gs pos="0">
              <a:schemeClr val="bg1">
                <a:alpha val="0"/>
              </a:schemeClr>
            </a:gs>
            <a:gs pos="50000">
              <a:schemeClr val="bg1"/>
            </a:gs>
          </a:gsLst>
          <a:lin ang="0" scaled="1"/>
          <a:tileRect/>
        </a:gradFill>
        <a:ln>
          <a:solidFill>
            <a:schemeClr val="bg1">
              <a:alpha val="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21</xdr:col>
      <xdr:colOff>0</xdr:colOff>
      <xdr:row>30</xdr:row>
      <xdr:rowOff>0</xdr:rowOff>
    </xdr:from>
    <xdr:to>
      <xdr:col>29</xdr:col>
      <xdr:colOff>0</xdr:colOff>
      <xdr:row>54</xdr:row>
      <xdr:rowOff>0</xdr:rowOff>
    </xdr:to>
    <xdr:sp macro="" textlink="">
      <xdr:nvSpPr>
        <xdr:cNvPr id="15" name="TextBox 14">
          <a:extLst>
            <a:ext uri="{FF2B5EF4-FFF2-40B4-BE49-F238E27FC236}">
              <a16:creationId xmlns:a16="http://schemas.microsoft.com/office/drawing/2014/main" id="{D578D872-F6CA-4334-8827-3172B73B7024}"/>
            </a:ext>
          </a:extLst>
        </xdr:cNvPr>
        <xdr:cNvSpPr txBox="1"/>
      </xdr:nvSpPr>
      <xdr:spPr>
        <a:xfrm>
          <a:off x="11563350" y="5838825"/>
          <a:ext cx="4810125" cy="4486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180000" bIns="0" rtlCol="0" anchor="ctr" anchorCtr="0"/>
        <a:lstStyle/>
        <a:p>
          <a:r>
            <a:rPr lang="da-DK" sz="1000"/>
            <a:t>Grafen viser den samlede nutidsværdi for den valgte løsning holdt op imod bevarelse af den eksisterende facade. X-aksen angiver det valgte tidsperspektiv, mens Y-aksen angiver den samlede nutidsværdi pr. vertikal m² facade. Med nutidsværdi menes summen af alle fremtidige ydelser og udgifter omregnet til dagens priser.</a:t>
          </a:r>
        </a:p>
        <a:p>
          <a:endParaRPr lang="da-DK" sz="1000"/>
        </a:p>
        <a:p>
          <a:r>
            <a:rPr lang="da-DK" sz="1000"/>
            <a:t>Hvis kurven ligger over 0-aksen har scenariet en positiv nutidsværdi set ud fra tidsperspektivet. Afhængig af betragtningsperioden og de valgte input, vil der i nogle tilfælde ikke kunne opnås en positiv nutidsværdi. Det betyder dog ikke, at der ikke findes en løsning, der er mere rentabel end den anden, så længe der er et skæringspunkt mellem linjerne.</a:t>
          </a:r>
        </a:p>
        <a:p>
          <a:r>
            <a:rPr lang="da-DK" sz="2000">
              <a:solidFill>
                <a:srgbClr val="D72232"/>
              </a:solidFill>
            </a:rPr>
            <a:t>---</a:t>
          </a:r>
        </a:p>
        <a:p>
          <a:r>
            <a:rPr lang="da-DK" sz="1000">
              <a:solidFill>
                <a:srgbClr val="D72232"/>
              </a:solidFill>
            </a:rPr>
            <a:t>Viser de samlede omkostninger ved at beholde den eksisterende facade. Herunder er bl.a. medregnet udgifter til vedligehold og energipriser.</a:t>
          </a:r>
        </a:p>
        <a:p>
          <a:r>
            <a:rPr lang="da-DK" sz="2000">
              <a:solidFill>
                <a:srgbClr val="0A2DF2"/>
              </a:solidFill>
            </a:rPr>
            <a:t>— </a:t>
          </a:r>
        </a:p>
        <a:p>
          <a:r>
            <a:rPr lang="da-DK" sz="1000">
              <a:solidFill>
                <a:srgbClr val="0A2DF2"/>
              </a:solidFill>
            </a:rPr>
            <a:t>Viser de samlede omkostningerne ved at udskifte til Klimafacade+ med den valgte sammensætning. Herunder er bl.a. medregnet udgifter til materiale, arbejdsløn, vedligehold og energipriser.</a:t>
          </a:r>
        </a:p>
        <a:p>
          <a:r>
            <a:rPr lang="da-DK" sz="2000"/>
            <a:t>×</a:t>
          </a:r>
        </a:p>
        <a:p>
          <a:r>
            <a:rPr lang="da-DK" sz="1000"/>
            <a:t>I skæringspunktet mellem de to linjer, bliver den ene løsning mere økonomisk rentabel end den anden ifht. de input, der oplyst i trin 1-3.</a:t>
          </a:r>
        </a:p>
      </xdr:txBody>
    </xdr:sp>
    <xdr:clientData/>
  </xdr:twoCellAnchor>
  <xdr:twoCellAnchor>
    <xdr:from>
      <xdr:col>3</xdr:col>
      <xdr:colOff>285750</xdr:colOff>
      <xdr:row>52</xdr:row>
      <xdr:rowOff>124811</xdr:rowOff>
    </xdr:from>
    <xdr:to>
      <xdr:col>8</xdr:col>
      <xdr:colOff>201705</xdr:colOff>
      <xdr:row>55</xdr:row>
      <xdr:rowOff>67236</xdr:rowOff>
    </xdr:to>
    <xdr:cxnSp macro="">
      <xdr:nvCxnSpPr>
        <xdr:cNvPr id="10" name="Straight Arrow Connector 9">
          <a:extLst>
            <a:ext uri="{FF2B5EF4-FFF2-40B4-BE49-F238E27FC236}">
              <a16:creationId xmlns:a16="http://schemas.microsoft.com/office/drawing/2014/main" id="{0E1E018D-C3AD-50D0-E5CD-63C939A7EB8B}"/>
            </a:ext>
            <a:ext uri="{C183D7F6-B498-43B3-948B-1728B52AA6E4}">
              <adec:decorative xmlns:adec="http://schemas.microsoft.com/office/drawing/2017/decorative" val="1"/>
            </a:ext>
          </a:extLst>
        </xdr:cNvPr>
        <xdr:cNvCxnSpPr>
          <a:cxnSpLocks/>
          <a:endCxn id="33" idx="3"/>
        </xdr:cNvCxnSpPr>
      </xdr:nvCxnSpPr>
      <xdr:spPr>
        <a:xfrm flipH="1" flipV="1">
          <a:off x="1857375" y="10297511"/>
          <a:ext cx="1344705" cy="494875"/>
        </a:xfrm>
        <a:prstGeom prst="straightConnector1">
          <a:avLst/>
        </a:prstGeom>
        <a:ln>
          <a:solidFill>
            <a:schemeClr val="tx1"/>
          </a:solidFill>
          <a:prstDash val="sysDot"/>
          <a:headEnd type="ova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696310</xdr:colOff>
      <xdr:row>55</xdr:row>
      <xdr:rowOff>45983</xdr:rowOff>
    </xdr:from>
    <xdr:to>
      <xdr:col>2</xdr:col>
      <xdr:colOff>696310</xdr:colOff>
      <xdr:row>60</xdr:row>
      <xdr:rowOff>105104</xdr:rowOff>
    </xdr:to>
    <xdr:cxnSp macro="">
      <xdr:nvCxnSpPr>
        <xdr:cNvPr id="31" name="Straight Connector 30">
          <a:extLst>
            <a:ext uri="{FF2B5EF4-FFF2-40B4-BE49-F238E27FC236}">
              <a16:creationId xmlns:a16="http://schemas.microsoft.com/office/drawing/2014/main" id="{A42FE846-61A2-9250-4AE3-21EC67064B5B}"/>
            </a:ext>
            <a:ext uri="{C183D7F6-B498-43B3-948B-1728B52AA6E4}">
              <adec:decorative xmlns:adec="http://schemas.microsoft.com/office/drawing/2017/decorative" val="1"/>
            </a:ext>
          </a:extLst>
        </xdr:cNvPr>
        <xdr:cNvCxnSpPr/>
      </xdr:nvCxnSpPr>
      <xdr:spPr>
        <a:xfrm flipV="1">
          <a:off x="972207" y="10727121"/>
          <a:ext cx="0" cy="985345"/>
        </a:xfrm>
        <a:prstGeom prst="line">
          <a:avLst/>
        </a:prstGeom>
        <a:ln>
          <a:solidFill>
            <a:schemeClr val="tx1"/>
          </a:solidFill>
          <a:prstDash val="sysDot"/>
          <a:headEnd type="ova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114299</xdr:colOff>
      <xdr:row>52</xdr:row>
      <xdr:rowOff>0</xdr:rowOff>
    </xdr:from>
    <xdr:to>
      <xdr:col>3</xdr:col>
      <xdr:colOff>285750</xdr:colOff>
      <xdr:row>53</xdr:row>
      <xdr:rowOff>59121</xdr:rowOff>
    </xdr:to>
    <xdr:sp macro="" textlink="">
      <xdr:nvSpPr>
        <xdr:cNvPr id="33" name="TextBox 32">
          <a:extLst>
            <a:ext uri="{FF2B5EF4-FFF2-40B4-BE49-F238E27FC236}">
              <a16:creationId xmlns:a16="http://schemas.microsoft.com/office/drawing/2014/main" id="{3B6E8AE0-88D2-4BD8-A3D0-1F4F0C28E7A9}"/>
            </a:ext>
          </a:extLst>
        </xdr:cNvPr>
        <xdr:cNvSpPr txBox="1"/>
      </xdr:nvSpPr>
      <xdr:spPr>
        <a:xfrm>
          <a:off x="276224" y="10172700"/>
          <a:ext cx="1581151" cy="24962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200" b="1">
              <a:solidFill>
                <a:srgbClr val="BB6745"/>
              </a:solidFill>
              <a:effectLst/>
              <a:latin typeface="+mn-lt"/>
              <a:ea typeface="+mn-ea"/>
              <a:cs typeface="+mn-cs"/>
            </a:rPr>
            <a:t>Eksisterende ydermur</a:t>
          </a:r>
        </a:p>
      </xdr:txBody>
    </xdr:sp>
    <xdr:clientData/>
  </xdr:twoCellAnchor>
  <xdr:twoCellAnchor>
    <xdr:from>
      <xdr:col>2</xdr:col>
      <xdr:colOff>0</xdr:colOff>
      <xdr:row>54</xdr:row>
      <xdr:rowOff>0</xdr:rowOff>
    </xdr:from>
    <xdr:to>
      <xdr:col>4</xdr:col>
      <xdr:colOff>12366</xdr:colOff>
      <xdr:row>55</xdr:row>
      <xdr:rowOff>64469</xdr:rowOff>
    </xdr:to>
    <xdr:sp macro="" textlink="">
      <xdr:nvSpPr>
        <xdr:cNvPr id="34" name="TextBox 33">
          <a:extLst>
            <a:ext uri="{FF2B5EF4-FFF2-40B4-BE49-F238E27FC236}">
              <a16:creationId xmlns:a16="http://schemas.microsoft.com/office/drawing/2014/main" id="{BC7A141C-1A00-42D3-8126-A79C45D6FE73}"/>
            </a:ext>
          </a:extLst>
        </xdr:cNvPr>
        <xdr:cNvSpPr txBox="1"/>
      </xdr:nvSpPr>
      <xdr:spPr>
        <a:xfrm>
          <a:off x="275897" y="10497207"/>
          <a:ext cx="1753141" cy="248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200" b="1">
              <a:solidFill>
                <a:srgbClr val="B58531"/>
              </a:solidFill>
              <a:effectLst/>
              <a:latin typeface="+mn-lt"/>
              <a:ea typeface="+mn-ea"/>
              <a:cs typeface="+mn-cs"/>
            </a:rPr>
            <a:t>Evt. nuværende isolering</a:t>
          </a:r>
        </a:p>
      </xdr:txBody>
    </xdr:sp>
    <xdr:clientData/>
  </xdr:twoCellAnchor>
  <xdr:twoCellAnchor>
    <xdr:from>
      <xdr:col>8</xdr:col>
      <xdr:colOff>637762</xdr:colOff>
      <xdr:row>71</xdr:row>
      <xdr:rowOff>24849</xdr:rowOff>
    </xdr:from>
    <xdr:to>
      <xdr:col>10</xdr:col>
      <xdr:colOff>200025</xdr:colOff>
      <xdr:row>72</xdr:row>
      <xdr:rowOff>92252</xdr:rowOff>
    </xdr:to>
    <xdr:sp macro="" textlink="">
      <xdr:nvSpPr>
        <xdr:cNvPr id="44" name="TextBox 43">
          <a:extLst>
            <a:ext uri="{FF2B5EF4-FFF2-40B4-BE49-F238E27FC236}">
              <a16:creationId xmlns:a16="http://schemas.microsoft.com/office/drawing/2014/main" id="{C82771BB-7A19-48E7-A3C2-C643B5DACE47}"/>
            </a:ext>
          </a:extLst>
        </xdr:cNvPr>
        <xdr:cNvSpPr txBox="1"/>
      </xdr:nvSpPr>
      <xdr:spPr>
        <a:xfrm>
          <a:off x="3638137" y="13664649"/>
          <a:ext cx="838613" cy="24837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100" b="1" i="0">
              <a:solidFill>
                <a:schemeClr val="bg1">
                  <a:lumMod val="50000"/>
                </a:schemeClr>
              </a:solidFill>
              <a:effectLst/>
              <a:latin typeface="+mn-lt"/>
              <a:ea typeface="+mn-ea"/>
              <a:cs typeface="+mn-cs"/>
            </a:rPr>
            <a:t>Vindspærre</a:t>
          </a:r>
          <a:endParaRPr lang="da-DK" sz="1200" b="1">
            <a:solidFill>
              <a:schemeClr val="bg1">
                <a:lumMod val="50000"/>
              </a:schemeClr>
            </a:solidFill>
            <a:effectLst/>
          </a:endParaRPr>
        </a:p>
      </xdr:txBody>
    </xdr:sp>
    <xdr:clientData/>
  </xdr:twoCellAnchor>
  <xdr:twoCellAnchor>
    <xdr:from>
      <xdr:col>4</xdr:col>
      <xdr:colOff>455544</xdr:colOff>
      <xdr:row>72</xdr:row>
      <xdr:rowOff>49695</xdr:rowOff>
    </xdr:from>
    <xdr:to>
      <xdr:col>8</xdr:col>
      <xdr:colOff>422414</xdr:colOff>
      <xdr:row>73</xdr:row>
      <xdr:rowOff>117099</xdr:rowOff>
    </xdr:to>
    <xdr:sp macro="" textlink="">
      <xdr:nvSpPr>
        <xdr:cNvPr id="45" name="TextBox 44">
          <a:extLst>
            <a:ext uri="{FF2B5EF4-FFF2-40B4-BE49-F238E27FC236}">
              <a16:creationId xmlns:a16="http://schemas.microsoft.com/office/drawing/2014/main" id="{1CEE8988-2CAE-492C-8509-132EB2648A0E}"/>
            </a:ext>
          </a:extLst>
        </xdr:cNvPr>
        <xdr:cNvSpPr txBox="1"/>
      </xdr:nvSpPr>
      <xdr:spPr>
        <a:xfrm>
          <a:off x="2476501" y="13881652"/>
          <a:ext cx="952500" cy="24962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100" b="1" i="0">
              <a:solidFill>
                <a:srgbClr val="B58531"/>
              </a:solidFill>
              <a:effectLst/>
              <a:latin typeface="+mn-lt"/>
              <a:ea typeface="+mn-ea"/>
              <a:cs typeface="+mn-cs"/>
            </a:rPr>
            <a:t>Efterisolering</a:t>
          </a:r>
          <a:endParaRPr lang="da-DK" sz="1200" b="1">
            <a:solidFill>
              <a:srgbClr val="B58531"/>
            </a:solidFill>
            <a:effectLst/>
          </a:endParaRPr>
        </a:p>
      </xdr:txBody>
    </xdr:sp>
    <xdr:clientData/>
  </xdr:twoCellAnchor>
  <xdr:twoCellAnchor>
    <xdr:from>
      <xdr:col>3</xdr:col>
      <xdr:colOff>248478</xdr:colOff>
      <xdr:row>65</xdr:row>
      <xdr:rowOff>142875</xdr:rowOff>
    </xdr:from>
    <xdr:to>
      <xdr:col>3</xdr:col>
      <xdr:colOff>248478</xdr:colOff>
      <xdr:row>73</xdr:row>
      <xdr:rowOff>16565</xdr:rowOff>
    </xdr:to>
    <xdr:cxnSp macro="">
      <xdr:nvCxnSpPr>
        <xdr:cNvPr id="49" name="Straight Connector 48">
          <a:extLst>
            <a:ext uri="{FF2B5EF4-FFF2-40B4-BE49-F238E27FC236}">
              <a16:creationId xmlns:a16="http://schemas.microsoft.com/office/drawing/2014/main" id="{90DE3252-82B9-3263-DDA9-72AFA55E9B82}"/>
            </a:ext>
            <a:ext uri="{C183D7F6-B498-43B3-948B-1728B52AA6E4}">
              <adec:decorative xmlns:adec="http://schemas.microsoft.com/office/drawing/2017/decorative" val="1"/>
            </a:ext>
          </a:extLst>
        </xdr:cNvPr>
        <xdr:cNvCxnSpPr/>
      </xdr:nvCxnSpPr>
      <xdr:spPr>
        <a:xfrm>
          <a:off x="1820103" y="12963525"/>
          <a:ext cx="0" cy="1321490"/>
        </a:xfrm>
        <a:prstGeom prst="line">
          <a:avLst/>
        </a:prstGeom>
        <a:ln>
          <a:solidFill>
            <a:schemeClr val="tx1"/>
          </a:solidFill>
          <a:prstDash val="sysDot"/>
          <a:headEnd type="ova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248478</xdr:colOff>
      <xdr:row>73</xdr:row>
      <xdr:rowOff>8282</xdr:rowOff>
    </xdr:from>
    <xdr:to>
      <xdr:col>4</xdr:col>
      <xdr:colOff>455543</xdr:colOff>
      <xdr:row>73</xdr:row>
      <xdr:rowOff>8282</xdr:rowOff>
    </xdr:to>
    <xdr:cxnSp macro="">
      <xdr:nvCxnSpPr>
        <xdr:cNvPr id="51" name="Straight Connector 50">
          <a:extLst>
            <a:ext uri="{FF2B5EF4-FFF2-40B4-BE49-F238E27FC236}">
              <a16:creationId xmlns:a16="http://schemas.microsoft.com/office/drawing/2014/main" id="{0BB19B60-7387-2474-3409-8FD14D29CABD}"/>
            </a:ext>
            <a:ext uri="{C183D7F6-B498-43B3-948B-1728B52AA6E4}">
              <adec:decorative xmlns:adec="http://schemas.microsoft.com/office/drawing/2017/decorative" val="1"/>
            </a:ext>
          </a:extLst>
        </xdr:cNvPr>
        <xdr:cNvCxnSpPr/>
      </xdr:nvCxnSpPr>
      <xdr:spPr>
        <a:xfrm>
          <a:off x="1822174" y="14022456"/>
          <a:ext cx="654326" cy="0"/>
        </a:xfrm>
        <a:prstGeom prst="line">
          <a:avLst/>
        </a:prstGeom>
        <a:ln>
          <a:solidFill>
            <a:schemeClr val="tx1"/>
          </a:solidFill>
          <a:prstDash val="sysDot"/>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99391</xdr:colOff>
      <xdr:row>66</xdr:row>
      <xdr:rowOff>16565</xdr:rowOff>
    </xdr:from>
    <xdr:to>
      <xdr:col>7</xdr:col>
      <xdr:colOff>99391</xdr:colOff>
      <xdr:row>71</xdr:row>
      <xdr:rowOff>149087</xdr:rowOff>
    </xdr:to>
    <xdr:cxnSp macro="">
      <xdr:nvCxnSpPr>
        <xdr:cNvPr id="53" name="Straight Connector 52">
          <a:extLst>
            <a:ext uri="{FF2B5EF4-FFF2-40B4-BE49-F238E27FC236}">
              <a16:creationId xmlns:a16="http://schemas.microsoft.com/office/drawing/2014/main" id="{3463A5B0-243C-4C30-9A38-C6B693BA2382}"/>
            </a:ext>
            <a:ext uri="{C183D7F6-B498-43B3-948B-1728B52AA6E4}">
              <adec:decorative xmlns:adec="http://schemas.microsoft.com/office/drawing/2017/decorative" val="1"/>
            </a:ext>
          </a:extLst>
        </xdr:cNvPr>
        <xdr:cNvCxnSpPr/>
      </xdr:nvCxnSpPr>
      <xdr:spPr>
        <a:xfrm>
          <a:off x="2981739" y="12755217"/>
          <a:ext cx="0" cy="1043609"/>
        </a:xfrm>
        <a:prstGeom prst="line">
          <a:avLst/>
        </a:prstGeom>
        <a:ln>
          <a:solidFill>
            <a:schemeClr val="tx1"/>
          </a:solidFill>
          <a:prstDash val="sysDot"/>
          <a:headEnd type="ova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99392</xdr:colOff>
      <xdr:row>71</xdr:row>
      <xdr:rowOff>149089</xdr:rowOff>
    </xdr:from>
    <xdr:to>
      <xdr:col>8</xdr:col>
      <xdr:colOff>629479</xdr:colOff>
      <xdr:row>71</xdr:row>
      <xdr:rowOff>149089</xdr:rowOff>
    </xdr:to>
    <xdr:cxnSp macro="">
      <xdr:nvCxnSpPr>
        <xdr:cNvPr id="55" name="Straight Connector 54">
          <a:extLst>
            <a:ext uri="{FF2B5EF4-FFF2-40B4-BE49-F238E27FC236}">
              <a16:creationId xmlns:a16="http://schemas.microsoft.com/office/drawing/2014/main" id="{056C23E0-CD6A-4A02-87CF-4A4BD46F22AE}"/>
            </a:ext>
            <a:ext uri="{C183D7F6-B498-43B3-948B-1728B52AA6E4}">
              <adec:decorative xmlns:adec="http://schemas.microsoft.com/office/drawing/2017/decorative" val="1"/>
            </a:ext>
          </a:extLst>
        </xdr:cNvPr>
        <xdr:cNvCxnSpPr/>
      </xdr:nvCxnSpPr>
      <xdr:spPr>
        <a:xfrm>
          <a:off x="2981740" y="13798828"/>
          <a:ext cx="654326" cy="0"/>
        </a:xfrm>
        <a:prstGeom prst="line">
          <a:avLst/>
        </a:prstGeom>
        <a:ln>
          <a:solidFill>
            <a:schemeClr val="tx1"/>
          </a:solidFill>
          <a:prstDash val="sysDot"/>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505239</xdr:colOff>
      <xdr:row>67</xdr:row>
      <xdr:rowOff>149087</xdr:rowOff>
    </xdr:from>
    <xdr:to>
      <xdr:col>8</xdr:col>
      <xdr:colOff>505239</xdr:colOff>
      <xdr:row>70</xdr:row>
      <xdr:rowOff>16565</xdr:rowOff>
    </xdr:to>
    <xdr:cxnSp macro="">
      <xdr:nvCxnSpPr>
        <xdr:cNvPr id="56" name="Straight Connector 55">
          <a:extLst>
            <a:ext uri="{FF2B5EF4-FFF2-40B4-BE49-F238E27FC236}">
              <a16:creationId xmlns:a16="http://schemas.microsoft.com/office/drawing/2014/main" id="{723D3638-87AA-46C0-A99E-4269F6598A12}"/>
            </a:ext>
            <a:ext uri="{C183D7F6-B498-43B3-948B-1728B52AA6E4}">
              <adec:decorative xmlns:adec="http://schemas.microsoft.com/office/drawing/2017/decorative" val="1"/>
            </a:ext>
          </a:extLst>
        </xdr:cNvPr>
        <xdr:cNvCxnSpPr/>
      </xdr:nvCxnSpPr>
      <xdr:spPr>
        <a:xfrm>
          <a:off x="3511826" y="13069957"/>
          <a:ext cx="0" cy="414130"/>
        </a:xfrm>
        <a:prstGeom prst="line">
          <a:avLst/>
        </a:prstGeom>
        <a:ln>
          <a:solidFill>
            <a:schemeClr val="tx1"/>
          </a:solidFill>
          <a:prstDash val="sysDot"/>
          <a:headEnd type="ova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505239</xdr:colOff>
      <xdr:row>70</xdr:row>
      <xdr:rowOff>8282</xdr:rowOff>
    </xdr:from>
    <xdr:to>
      <xdr:col>9</xdr:col>
      <xdr:colOff>463826</xdr:colOff>
      <xdr:row>70</xdr:row>
      <xdr:rowOff>8282</xdr:rowOff>
    </xdr:to>
    <xdr:cxnSp macro="">
      <xdr:nvCxnSpPr>
        <xdr:cNvPr id="58" name="Straight Connector 57">
          <a:extLst>
            <a:ext uri="{FF2B5EF4-FFF2-40B4-BE49-F238E27FC236}">
              <a16:creationId xmlns:a16="http://schemas.microsoft.com/office/drawing/2014/main" id="{237ACDBD-CA78-4452-B054-CC5F043A9D1A}"/>
            </a:ext>
            <a:ext uri="{C183D7F6-B498-43B3-948B-1728B52AA6E4}">
              <adec:decorative xmlns:adec="http://schemas.microsoft.com/office/drawing/2017/decorative" val="1"/>
            </a:ext>
          </a:extLst>
        </xdr:cNvPr>
        <xdr:cNvCxnSpPr/>
      </xdr:nvCxnSpPr>
      <xdr:spPr>
        <a:xfrm>
          <a:off x="3511826" y="13475804"/>
          <a:ext cx="654326" cy="0"/>
        </a:xfrm>
        <a:prstGeom prst="line">
          <a:avLst/>
        </a:prstGeom>
        <a:ln>
          <a:solidFill>
            <a:schemeClr val="tx1"/>
          </a:solidFill>
          <a:prstDash val="sysDot"/>
          <a:headEnd type="non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430696</xdr:colOff>
      <xdr:row>69</xdr:row>
      <xdr:rowOff>57978</xdr:rowOff>
    </xdr:from>
    <xdr:to>
      <xdr:col>13</xdr:col>
      <xdr:colOff>114300</xdr:colOff>
      <xdr:row>70</xdr:row>
      <xdr:rowOff>125381</xdr:rowOff>
    </xdr:to>
    <xdr:sp macro="" textlink="">
      <xdr:nvSpPr>
        <xdr:cNvPr id="59" name="TextBox 58">
          <a:extLst>
            <a:ext uri="{FF2B5EF4-FFF2-40B4-BE49-F238E27FC236}">
              <a16:creationId xmlns:a16="http://schemas.microsoft.com/office/drawing/2014/main" id="{923FECE3-66D9-4B2B-BFC7-386D07DFDD08}"/>
            </a:ext>
          </a:extLst>
        </xdr:cNvPr>
        <xdr:cNvSpPr txBox="1"/>
      </xdr:nvSpPr>
      <xdr:spPr>
        <a:xfrm>
          <a:off x="4126396" y="13335828"/>
          <a:ext cx="1121879" cy="24837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100" b="1" i="0">
              <a:solidFill>
                <a:srgbClr val="6D6AA7"/>
              </a:solidFill>
              <a:effectLst/>
              <a:latin typeface="+mn-lt"/>
              <a:ea typeface="+mn-ea"/>
              <a:cs typeface="+mn-cs"/>
            </a:rPr>
            <a:t>Afstandsprofiler</a:t>
          </a:r>
          <a:endParaRPr lang="da-DK" sz="1200" b="1">
            <a:solidFill>
              <a:srgbClr val="6D6AA7"/>
            </a:solidFill>
            <a:effectLst/>
          </a:endParaRPr>
        </a:p>
      </xdr:txBody>
    </xdr:sp>
    <xdr:clientData/>
  </xdr:twoCellAnchor>
  <xdr:twoCellAnchor>
    <xdr:from>
      <xdr:col>10</xdr:col>
      <xdr:colOff>91108</xdr:colOff>
      <xdr:row>60</xdr:row>
      <xdr:rowOff>173935</xdr:rowOff>
    </xdr:from>
    <xdr:to>
      <xdr:col>13</xdr:col>
      <xdr:colOff>207065</xdr:colOff>
      <xdr:row>60</xdr:row>
      <xdr:rowOff>173935</xdr:rowOff>
    </xdr:to>
    <xdr:cxnSp macro="">
      <xdr:nvCxnSpPr>
        <xdr:cNvPr id="65" name="Straight Connector 64">
          <a:extLst>
            <a:ext uri="{FF2B5EF4-FFF2-40B4-BE49-F238E27FC236}">
              <a16:creationId xmlns:a16="http://schemas.microsoft.com/office/drawing/2014/main" id="{2AF0BD80-569B-806C-55D0-0E8A9DE1EAFB}"/>
            </a:ext>
            <a:ext uri="{C183D7F6-B498-43B3-948B-1728B52AA6E4}">
              <adec:decorative xmlns:adec="http://schemas.microsoft.com/office/drawing/2017/decorative" val="1"/>
            </a:ext>
          </a:extLst>
        </xdr:cNvPr>
        <xdr:cNvCxnSpPr/>
      </xdr:nvCxnSpPr>
      <xdr:spPr>
        <a:xfrm>
          <a:off x="4373217" y="11811000"/>
          <a:ext cx="977348" cy="0"/>
        </a:xfrm>
        <a:prstGeom prst="line">
          <a:avLst/>
        </a:prstGeom>
        <a:ln>
          <a:solidFill>
            <a:schemeClr val="tx1"/>
          </a:solidFill>
          <a:prstDash val="sysDot"/>
          <a:headEnd type="ova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140805</xdr:colOff>
      <xdr:row>60</xdr:row>
      <xdr:rowOff>49696</xdr:rowOff>
    </xdr:from>
    <xdr:to>
      <xdr:col>15</xdr:col>
      <xdr:colOff>466725</xdr:colOff>
      <xdr:row>61</xdr:row>
      <xdr:rowOff>108817</xdr:rowOff>
    </xdr:to>
    <xdr:sp macro="" textlink="">
      <xdr:nvSpPr>
        <xdr:cNvPr id="43" name="TextBox 42">
          <a:extLst>
            <a:ext uri="{FF2B5EF4-FFF2-40B4-BE49-F238E27FC236}">
              <a16:creationId xmlns:a16="http://schemas.microsoft.com/office/drawing/2014/main" id="{F11F3D65-6059-4441-95AF-AE767C0E249E}"/>
            </a:ext>
          </a:extLst>
        </xdr:cNvPr>
        <xdr:cNvSpPr txBox="1"/>
      </xdr:nvSpPr>
      <xdr:spPr>
        <a:xfrm>
          <a:off x="5112855" y="11689246"/>
          <a:ext cx="1306995" cy="24962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lstStyle/>
        <a:p>
          <a:r>
            <a:rPr lang="da-DK" sz="1100" b="1" i="0">
              <a:solidFill>
                <a:srgbClr val="4188C8"/>
              </a:solidFill>
              <a:effectLst/>
              <a:latin typeface="+mn-lt"/>
              <a:ea typeface="+mn-ea"/>
              <a:cs typeface="+mn-cs"/>
            </a:rPr>
            <a:t>Facadebeklædning</a:t>
          </a:r>
          <a:endParaRPr lang="da-DK" sz="1200" b="1">
            <a:solidFill>
              <a:srgbClr val="4188C8"/>
            </a:solidFill>
            <a:effectLst/>
          </a:endParaRPr>
        </a:p>
      </xdr:txBody>
    </xdr:sp>
    <xdr:clientData/>
  </xdr:twoCellAnchor>
  <xdr:twoCellAnchor>
    <xdr:from>
      <xdr:col>13</xdr:col>
      <xdr:colOff>1</xdr:colOff>
      <xdr:row>56</xdr:row>
      <xdr:rowOff>0</xdr:rowOff>
    </xdr:from>
    <xdr:to>
      <xdr:col>14</xdr:col>
      <xdr:colOff>352425</xdr:colOff>
      <xdr:row>57</xdr:row>
      <xdr:rowOff>59121</xdr:rowOff>
    </xdr:to>
    <xdr:sp macro="" textlink="">
      <xdr:nvSpPr>
        <xdr:cNvPr id="66" name="TextBox 65">
          <a:extLst>
            <a:ext uri="{FF2B5EF4-FFF2-40B4-BE49-F238E27FC236}">
              <a16:creationId xmlns:a16="http://schemas.microsoft.com/office/drawing/2014/main" id="{0A6A0731-FEE4-454E-831B-A3BFD6B13B9F}"/>
            </a:ext>
          </a:extLst>
        </xdr:cNvPr>
        <xdr:cNvSpPr txBox="1"/>
      </xdr:nvSpPr>
      <xdr:spPr>
        <a:xfrm>
          <a:off x="5133976" y="10906125"/>
          <a:ext cx="581024" cy="24962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72000" bIns="36000" rtlCol="0" anchor="t"/>
        <a:lstStyle/>
        <a:p>
          <a:r>
            <a:rPr lang="da-DK" sz="1100" b="1" i="0">
              <a:solidFill>
                <a:srgbClr val="3CB27F"/>
              </a:solidFill>
              <a:effectLst/>
              <a:latin typeface="+mn-lt"/>
              <a:ea typeface="+mn-ea"/>
              <a:cs typeface="+mn-cs"/>
            </a:rPr>
            <a:t>Skelet</a:t>
          </a:r>
          <a:endParaRPr lang="da-DK" b="1">
            <a:solidFill>
              <a:srgbClr val="3CB27F"/>
            </a:solidFill>
            <a:effectLst/>
          </a:endParaRPr>
        </a:p>
      </xdr:txBody>
    </xdr:sp>
    <xdr:clientData/>
  </xdr:twoCellAnchor>
  <xdr:twoCellAnchor>
    <xdr:from>
      <xdr:col>10</xdr:col>
      <xdr:colOff>132522</xdr:colOff>
      <xdr:row>55</xdr:row>
      <xdr:rowOff>16564</xdr:rowOff>
    </xdr:from>
    <xdr:to>
      <xdr:col>13</xdr:col>
      <xdr:colOff>1</xdr:colOff>
      <xdr:row>56</xdr:row>
      <xdr:rowOff>124811</xdr:rowOff>
    </xdr:to>
    <xdr:cxnSp macro="">
      <xdr:nvCxnSpPr>
        <xdr:cNvPr id="67" name="Straight Connector 66">
          <a:extLst>
            <a:ext uri="{FF2B5EF4-FFF2-40B4-BE49-F238E27FC236}">
              <a16:creationId xmlns:a16="http://schemas.microsoft.com/office/drawing/2014/main" id="{3DF4C6A0-3918-426E-BF7F-AC02D84E690A}"/>
            </a:ext>
            <a:ext uri="{C183D7F6-B498-43B3-948B-1728B52AA6E4}">
              <adec:decorative xmlns:adec="http://schemas.microsoft.com/office/drawing/2017/decorative" val="1"/>
            </a:ext>
          </a:extLst>
        </xdr:cNvPr>
        <xdr:cNvCxnSpPr>
          <a:endCxn id="66" idx="1"/>
        </xdr:cNvCxnSpPr>
      </xdr:nvCxnSpPr>
      <xdr:spPr>
        <a:xfrm>
          <a:off x="4409247" y="10741714"/>
          <a:ext cx="724729" cy="289222"/>
        </a:xfrm>
        <a:prstGeom prst="line">
          <a:avLst/>
        </a:prstGeom>
        <a:ln>
          <a:solidFill>
            <a:schemeClr val="tx1"/>
          </a:solidFill>
          <a:prstDash val="sysDot"/>
          <a:headEnd type="oval"/>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22</xdr:row>
      <xdr:rowOff>18142</xdr:rowOff>
    </xdr:from>
    <xdr:to>
      <xdr:col>2</xdr:col>
      <xdr:colOff>6489051</xdr:colOff>
      <xdr:row>27</xdr:row>
      <xdr:rowOff>19046</xdr:rowOff>
    </xdr:to>
    <xdr:pic>
      <xdr:nvPicPr>
        <xdr:cNvPr id="12" name="Picture 1" descr="Figur: Bygningens livscyklus">
          <a:extLst>
            <a:ext uri="{FF2B5EF4-FFF2-40B4-BE49-F238E27FC236}">
              <a16:creationId xmlns:a16="http://schemas.microsoft.com/office/drawing/2014/main" id="{8DA69FD2-3E13-4460-A043-83B6E10F9B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35" r="5377"/>
        <a:stretch/>
      </xdr:blipFill>
      <xdr:spPr bwMode="auto">
        <a:xfrm>
          <a:off x="417286" y="7238999"/>
          <a:ext cx="7343126" cy="422365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6350</xdr:colOff>
      <xdr:row>5</xdr:row>
      <xdr:rowOff>104775</xdr:rowOff>
    </xdr:from>
    <xdr:to>
      <xdr:col>18</xdr:col>
      <xdr:colOff>600075</xdr:colOff>
      <xdr:row>28</xdr:row>
      <xdr:rowOff>0</xdr:rowOff>
    </xdr:to>
    <xdr:graphicFrame macro="">
      <xdr:nvGraphicFramePr>
        <xdr:cNvPr id="2" name="Chart 1" descr="LCA-graf (rå version)">
          <a:extLst>
            <a:ext uri="{FF2B5EF4-FFF2-40B4-BE49-F238E27FC236}">
              <a16:creationId xmlns:a16="http://schemas.microsoft.com/office/drawing/2014/main" id="{14340E73-CD93-837B-FA85-17016F0B5F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12699</xdr:colOff>
      <xdr:row>28</xdr:row>
      <xdr:rowOff>123825</xdr:rowOff>
    </xdr:from>
    <xdr:to>
      <xdr:col>18</xdr:col>
      <xdr:colOff>590549</xdr:colOff>
      <xdr:row>46</xdr:row>
      <xdr:rowOff>139700</xdr:rowOff>
    </xdr:to>
    <xdr:graphicFrame macro="">
      <xdr:nvGraphicFramePr>
        <xdr:cNvPr id="5" name="Chart 4" descr="LCC-graf (rå version)">
          <a:extLst>
            <a:ext uri="{FF2B5EF4-FFF2-40B4-BE49-F238E27FC236}">
              <a16:creationId xmlns:a16="http://schemas.microsoft.com/office/drawing/2014/main" id="{0AEB480A-845F-739B-92BD-F49F1D0F49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114300</xdr:colOff>
      <xdr:row>1</xdr:row>
      <xdr:rowOff>139700</xdr:rowOff>
    </xdr:from>
    <xdr:to>
      <xdr:col>9</xdr:col>
      <xdr:colOff>256346</xdr:colOff>
      <xdr:row>18</xdr:row>
      <xdr:rowOff>145619</xdr:rowOff>
    </xdr:to>
    <xdr:pic>
      <xdr:nvPicPr>
        <xdr:cNvPr id="2" name="Picture 1" descr="Søjlediagram fra BUILD 2023">
          <a:extLst>
            <a:ext uri="{FF2B5EF4-FFF2-40B4-BE49-F238E27FC236}">
              <a16:creationId xmlns:a16="http://schemas.microsoft.com/office/drawing/2014/main" id="{6A4829A2-AE13-4613-E52A-9F0F0DDFBA2C}"/>
            </a:ext>
          </a:extLst>
        </xdr:cNvPr>
        <xdr:cNvPicPr>
          <a:picLocks noChangeAspect="1"/>
        </xdr:cNvPicPr>
      </xdr:nvPicPr>
      <xdr:blipFill>
        <a:blip xmlns:r="http://schemas.openxmlformats.org/officeDocument/2006/relationships" r:embed="rId1"/>
        <a:stretch>
          <a:fillRect/>
        </a:stretch>
      </xdr:blipFill>
      <xdr:spPr>
        <a:xfrm>
          <a:off x="5251450" y="387350"/>
          <a:ext cx="6438071" cy="34476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24</xdr:row>
      <xdr:rowOff>1</xdr:rowOff>
    </xdr:from>
    <xdr:to>
      <xdr:col>3</xdr:col>
      <xdr:colOff>0</xdr:colOff>
      <xdr:row>26</xdr:row>
      <xdr:rowOff>0</xdr:rowOff>
    </xdr:to>
    <xdr:sp macro="" textlink="">
      <xdr:nvSpPr>
        <xdr:cNvPr id="2" name="TextBox 1">
          <a:extLst>
            <a:ext uri="{FF2B5EF4-FFF2-40B4-BE49-F238E27FC236}">
              <a16:creationId xmlns:a16="http://schemas.microsoft.com/office/drawing/2014/main" id="{EEBA1E9A-E6A3-768A-667F-E6C5D9DEA115}"/>
            </a:ext>
          </a:extLst>
        </xdr:cNvPr>
        <xdr:cNvSpPr txBox="1"/>
      </xdr:nvSpPr>
      <xdr:spPr>
        <a:xfrm>
          <a:off x="0" y="4429126"/>
          <a:ext cx="5457825" cy="361949"/>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0" i="0" u="sng" strike="noStrike">
              <a:solidFill>
                <a:schemeClr val="dk1"/>
              </a:solidFill>
              <a:effectLst/>
              <a:latin typeface="+mn-lt"/>
              <a:ea typeface="+mn-ea"/>
              <a:cs typeface="+mn-cs"/>
            </a:rPr>
            <a:t>Antagelser:</a:t>
          </a:r>
          <a:r>
            <a:rPr lang="da-DK" sz="1100" b="0" i="0" u="none" strike="noStrike">
              <a:solidFill>
                <a:schemeClr val="dk1"/>
              </a:solidFill>
              <a:effectLst/>
              <a:latin typeface="+mn-lt"/>
              <a:ea typeface="+mn-ea"/>
              <a:cs typeface="+mn-cs"/>
            </a:rPr>
            <a:t> Værktøjet regner kun med fjernvarme.</a:t>
          </a:r>
          <a:r>
            <a:rPr lang="da-DK"/>
            <a:t> </a:t>
          </a:r>
          <a:r>
            <a:rPr lang="da-DK" sz="1100" b="1" i="0" u="none" strike="noStrike">
              <a:solidFill>
                <a:schemeClr val="dk1"/>
              </a:solidFill>
              <a:effectLst/>
              <a:latin typeface="+mn-lt"/>
              <a:ea typeface="+mn-ea"/>
              <a:cs typeface="+mn-cs"/>
            </a:rPr>
            <a:t>5 etager (1000 m² ydervæg)</a:t>
          </a:r>
          <a:r>
            <a:rPr lang="da-DK"/>
            <a:t> </a:t>
          </a:r>
          <a:endParaRPr lang="da-DK"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530225</xdr:colOff>
      <xdr:row>10</xdr:row>
      <xdr:rowOff>49683</xdr:rowOff>
    </xdr:from>
    <xdr:to>
      <xdr:col>13</xdr:col>
      <xdr:colOff>301625</xdr:colOff>
      <xdr:row>23</xdr:row>
      <xdr:rowOff>40805</xdr:rowOff>
    </xdr:to>
    <xdr:pic>
      <xdr:nvPicPr>
        <xdr:cNvPr id="2" name="Picture 2" descr="Tabel fra Artelia-rapport">
          <a:extLst>
            <a:ext uri="{FF2B5EF4-FFF2-40B4-BE49-F238E27FC236}">
              <a16:creationId xmlns:a16="http://schemas.microsoft.com/office/drawing/2014/main" id="{376B2167-EAC7-2E01-4FE4-7D5B6B597B90}"/>
            </a:ext>
          </a:extLst>
        </xdr:cNvPr>
        <xdr:cNvPicPr>
          <a:picLocks noChangeAspect="1"/>
        </xdr:cNvPicPr>
      </xdr:nvPicPr>
      <xdr:blipFill>
        <a:blip xmlns:r="http://schemas.openxmlformats.org/officeDocument/2006/relationships" r:embed="rId1"/>
        <a:stretch>
          <a:fillRect/>
        </a:stretch>
      </xdr:blipFill>
      <xdr:spPr>
        <a:xfrm>
          <a:off x="2270125" y="3364383"/>
          <a:ext cx="5397500" cy="2385072"/>
        </a:xfrm>
        <a:prstGeom prst="rect">
          <a:avLst/>
        </a:prstGeom>
      </xdr:spPr>
    </xdr:pic>
    <xdr:clientData/>
  </xdr:twoCellAnchor>
  <xdr:twoCellAnchor>
    <xdr:from>
      <xdr:col>4</xdr:col>
      <xdr:colOff>1</xdr:colOff>
      <xdr:row>0</xdr:row>
      <xdr:rowOff>0</xdr:rowOff>
    </xdr:from>
    <xdr:to>
      <xdr:col>14</xdr:col>
      <xdr:colOff>1</xdr:colOff>
      <xdr:row>8</xdr:row>
      <xdr:rowOff>1</xdr:rowOff>
    </xdr:to>
    <xdr:sp macro="" textlink="">
      <xdr:nvSpPr>
        <xdr:cNvPr id="3" name="TextBox 1">
          <a:extLst>
            <a:ext uri="{FF2B5EF4-FFF2-40B4-BE49-F238E27FC236}">
              <a16:creationId xmlns:a16="http://schemas.microsoft.com/office/drawing/2014/main" id="{C5E3B0E3-9956-41E1-BBF2-AC16DF1DB06A}"/>
            </a:ext>
          </a:extLst>
        </xdr:cNvPr>
        <xdr:cNvSpPr txBox="1"/>
      </xdr:nvSpPr>
      <xdr:spPr>
        <a:xfrm>
          <a:off x="2019301" y="0"/>
          <a:ext cx="5581650" cy="2190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a:t>Emissionsfaktorerne for el, fjernvarme og ledningsgas opgøres pr. kWh for miljøpåvirkningskategorien ’Climate Change – Total (kg CO2-eq)' iht. EN 15804 + A2,</a:t>
          </a:r>
          <a:r>
            <a:rPr lang="da-DK" baseline="0"/>
            <a:t> og er fra Artelias rapport "Emissionsfaktorer for el, fjernvarme og ledningsgas" fra 2023, som kan findes her: https://sbst.dk/udgivelser/2023/emissionsfaktorer-for-el-fjernvarme-og-ledningsgas-2025-2075 </a:t>
          </a:r>
        </a:p>
        <a:p>
          <a:endParaRPr lang="da-DK" sz="1100" baseline="0"/>
        </a:p>
        <a:p>
          <a:r>
            <a:rPr lang="da-DK" sz="1100" baseline="0"/>
            <a:t>Værdierne er angivet for 2025, 2030, 2035, 2040, 2045, 2050-2075</a:t>
          </a:r>
        </a:p>
        <a:p>
          <a:r>
            <a:rPr lang="da-DK" sz="1100" baseline="0"/>
            <a:t>Værdierne mellem årene interpoleres, samt værdien for 2024 expoleres, jf. forskellen mellem 2025 og 2030 værdien. </a:t>
          </a:r>
        </a:p>
        <a:p>
          <a:endParaRPr lang="da-DK" sz="1100" baseline="0"/>
        </a:p>
        <a:p>
          <a:r>
            <a:rPr lang="da-DK" sz="1100" baseline="0"/>
            <a:t>Ledningsgas, er ikke nødvendigt for dette projekt, og derfor ikke medtaget.</a:t>
          </a:r>
        </a:p>
        <a:p>
          <a:endParaRPr lang="en-DK"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7D79A66-B455-4383-8342-596CAB25CF4D}" name="Tidstabel" displayName="Tidstabel" ref="A6:CI87" totalsRowShown="0" headerRowDxfId="212">
  <autoFilter ref="A6:CI87" xr:uid="{C7D79A66-B455-4383-8342-596CAB25CF4D}"/>
  <tableColumns count="87">
    <tableColumn id="1" xr3:uid="{83D0038F-E3E4-4FA5-B89E-AA2797794ED4}" name="År" dataDxfId="211"/>
    <tableColumn id="2" xr3:uid="{C5ECADB1-9BD4-4E4A-9E6B-F1A3AA205C45}" name="Årstal" dataDxfId="210">
      <calculatedColumnFormula>Input_Etableringsår+Tidstabel[[#This Row],[År]]</calculatedColumnFormula>
    </tableColumn>
    <tableColumn id="20" xr3:uid="{9545F1EC-DA63-4D57-853E-A7935C61A6F4}" name="Kalkulationsrente" dataDxfId="209">
      <calculatedColumnFormula array="1">_xlfn.IFS(Tidstabel[[#This Row],[År]]&gt;KR_Trin3_Tærskel,KR_Trin3_Rente,Tidstabel[[#This Row],[År]]&gt;KR_Trin2_Tærskel,KR_Trin2_Rente,Tidstabel[[#This Row],[År]]&gt;KR_Trin1_Tærskel,KR_Trin1_Rente,Tidstabel[[#This Row],[År]]&gt;KR_Trin0_Tærskel,KR_Trin0_Rente)</calculatedColumnFormula>
    </tableColumn>
    <tableColumn id="3" xr3:uid="{3D4D212D-D0F0-4C02-B44B-5D04AF548F57}" name="Facadebeklædning" dataDxfId="208">
      <calculatedColumnFormula array="1">IFERROR(
INDEX(Range_Materiale_ÅrligeEmissioner,MATCH(1,(Materialedata[Komponent]=FB_Titel)*(Materialedata[Materiale]=FB_Materiale),0),MATCH(Tidstabel[[#This Row],[År]],Range_Materiale_År,0)),BlankTegn)</calculatedColumnFormula>
    </tableColumn>
    <tableColumn id="4" xr3:uid="{AFE04C7D-D66E-4823-A26A-E03C71798263}" name="Skelet" dataDxfId="207">
      <calculatedColumnFormula array="1">IFERROR(
INDEX(Range_Materiale_ÅrligeEmissioner,MATCH(1,(Materialedata[Komponent]=SK_Titel)*(Materialedata[Materiale]=SK_Materiale),0),MATCH(Tidstabel[[#This Row],[År]],Range_Materiale_År,0)),BlankTegn)</calculatedColumnFormula>
    </tableColumn>
    <tableColumn id="5" xr3:uid="{A0E0548A-6F49-42FE-B62B-AD2AB49F891B}" name="Efterisolering" dataDxfId="206">
      <calculatedColumnFormula array="1">IFERROR(
INDEX(Range_Materiale_ÅrligeEmissioner,MATCH(1,(Materialedata[Komponent]=EI_Titel)*(Materialedata[Materiale]=EI_Materiale),0),MATCH(Tidstabel[[#This Row],[År]],Range_Materiale_År,0)),BlankTegn)</calculatedColumnFormula>
    </tableColumn>
    <tableColumn id="6" xr3:uid="{1BE304FC-CF17-4151-822E-4682B0AD7705}" name="Afstandsprofil" dataDxfId="205">
      <calculatedColumnFormula array="1">IFERROR(
INDEX(Range_Materiale_ÅrligeEmissioner,MATCH(1,(Materialedata[Komponent]=AP_Titel)*(Materialedata[Materiale]=AP_Materiale),0),MATCH(Tidstabel[[#This Row],[År]],Range_Materiale_År,0)),BlankTegn)</calculatedColumnFormula>
    </tableColumn>
    <tableColumn id="7" xr3:uid="{1AD945E9-62DA-453E-9A2C-D3DBDD3CDA7A}" name="Vindspærre" dataDxfId="204">
      <calculatedColumnFormula array="1">IFERROR(
INDEX(Range_Materiale_ÅrligeEmissioner,MATCH(1,(Materialedata[Komponent]=VS_Titel)*(Materialedata[Materiale]=VS_Materiale),0),MATCH(Tidstabel[[#This Row],[År]],Range_Materiale_År,0)),BlankTegn)</calculatedColumnFormula>
    </tableColumn>
    <tableColumn id="8" xr3:uid="{FBAF0F6E-C706-48BD-9E89-916749ECF1AD}" name="Materialer_Total" dataDxfId="203">
      <calculatedColumnFormula>IFERROR(
IF(SUM(Tidstabel[[#This Row],[Facadebeklædning]:[Vindspærre]])=0,BlankTegn,
SUM(Tidstabel[[#This Row],[Facadebeklædning]:[Vindspærre]])),BlankTegn)</calculatedColumnFormula>
    </tableColumn>
    <tableColumn id="9" xr3:uid="{FC981771-DC70-42B0-901D-314FAEA68D27}" name="Byggeprocess" dataDxfId="202">
      <calculatedColumnFormula>IF(Tidstabel[[#This Row],[År]]&gt;Input_Tidshorisont,BlankTegn,
A5_ElVarmeBrændstofByggeplads)</calculatedColumnFormula>
    </tableColumn>
    <tableColumn id="10" xr3:uid="{FE07CD25-BAF4-45C8-BD1D-3C9564C90E57}" name="Energibesparelse" dataDxfId="201">
      <calculatedColumnFormula>IFERROR(IF(Tidstabel[[#This Row],[År]]&gt;Input_Tidshorisont,BlankTegn,
-1*INDEX(Range_Energi_ÅrligBesparelse,MATCH(Input_EksisterendeFacade,Energiberegning[Ydervæg],0),MATCH(Tidstabel[[#This Row],[Årstal]],Range_Energi_Årstal,0))),BlankTegn)</calculatedColumnFormula>
    </tableColumn>
    <tableColumn id="11" xr3:uid="{8B925C97-F2AD-42E7-A9C9-040224E1A821}" name="Vedligehold_EksisterendeFacade" dataDxfId="200">
      <calculatedColumnFormula>IF(Tidstabel[[#This Row],[År]]&gt;Input_Tidshorisont,BlankTegn,
(Tidstabel[[#This Row],[År]]+1)*(SUM(Vedligeholdelsesmaterialer[Facadefarve],Vedligeholdelsesmaterialer[Grunder og mellemmaling])/12+SUM(Vedligeholdelsesmaterialer[Puds])/30))</calculatedColumnFormula>
    </tableColumn>
    <tableColumn id="12" xr3:uid="{7842ABDB-8244-41FE-BC4F-0BFE97AD4651}" name="Emission_Brutto" dataDxfId="199">
      <calculatedColumnFormula>IFERROR(IF(Tidstabel[[#This Row],[År]]&gt;Input_Tidshorisont,BlankTegn,
Tidstabel[[#This Row],[Materialer_Total]]+Tidstabel[[#This Row],[Byggeprocess]]),BlankTegn)</calculatedColumnFormula>
    </tableColumn>
    <tableColumn id="13" xr3:uid="{9533FEFA-23C2-443C-9865-32140EC463A1}" name="Emission_Netto" dataDxfId="198">
      <calculatedColumnFormula>IFERROR(IF(Tidstabel[[#This Row],[År]]&gt;Input_Tidshorisont,BlankTegn,
Tidstabel[[#This Row],[Energibesparelse]]+Tidstabel[[#This Row],[Emission_Brutto]]),BlankTegn)</calculatedColumnFormula>
    </tableColumn>
    <tableColumn id="14" xr3:uid="{D1467082-C412-4FD6-A74D-978CFAD235A4}" name="LCA-Difference" dataDxfId="197">
      <calculatedColumnFormula>IFERROR(IF(Tidstabel[[#This Row],[År]]&gt;Input_Tidshorisont,BlankTegn,
Tidstabel[[#This Row],[Emission_Netto]]-Tidstabel[[#This Row],[Vedligehold_EksisterendeFacade]]),BlankTegn)</calculatedColumnFormula>
    </tableColumn>
    <tableColumn id="15" xr3:uid="{DF228800-8C96-450C-AB4F-E2D639EAC96A}" name="LCA-Skæring" dataDxfId="196">
      <calculatedColumnFormula>IFERROR(IF(Tidstabel[[#This Row],[År]]&gt;Input_Tidshorisont,BlankTegn,
IF(AND(Tidstabel[[#This Row],[Emission_Netto]]-Tidstabel[[#This Row],[Vedligehold_EksisterendeFacade]]&gt;0,N8-L8&lt;0),-1,IF(AND(Tidstabel[[#This Row],[Emission_Netto]]-Tidstabel[[#This Row],[Vedligehold_EksisterendeFacade]]&lt;0,N8-L8&gt;0),1,0))),BlankTegn)</calculatedColumnFormula>
    </tableColumn>
    <tableColumn id="16" xr3:uid="{B1F2547D-E9C7-4E13-9E22-CD26B6AF63EA}" name="LCA-Rentabel_X" dataDxfId="195">
      <calculatedColumnFormula>IF(Tidstabel[[#This Row],[År]]&gt;Input_Tidshorisont,BlankTegn,
IF(Tidstabel[[#This Row],[LCA-Skæring]]=-1,SUM(Tidstabel[[#This Row],[År]]*(1-ABS(Tidstabel[[#This Row],[LCA-Difference]])/(ABS(Tidstabel[[#This Row],[LCA-Difference]])+ABS(O8))),A8*(1-ABS(O8)/(ABS(Tidstabel[[#This Row],[LCA-Difference]])+ABS(O8)))),"-"))</calculatedColumnFormula>
    </tableColumn>
    <tableColumn id="17" xr3:uid="{1B85FD60-8BCE-4CE8-97AF-77012F09AC7A}" name="LCA-Rentabel_Y" dataDxfId="194">
      <calculatedColumnFormula>IF(Tidstabel[[#This Row],[År]]&gt;Input_Tidshorisont,BlankTegn,
IF(Tidstabel[[#This Row],[LCA-Skæring]]=-1,SUM(Tidstabel[[#This Row],[Emission_Netto]]*(1-ABS(Tidstabel[[#This Row],[LCA-Difference]])/(ABS(Tidstabel[[#This Row],[LCA-Difference]])+ABS(O8))),N8*(1-ABS(O8)/(ABS(Tidstabel[[#This Row],[LCA-Difference]])+ABS(O8)))),"-"))</calculatedColumnFormula>
    </tableColumn>
    <tableColumn id="18" xr3:uid="{288E78EA-746D-4DD9-AA0E-117F6A7FCCED}" name="LCA-Urentabel_X" dataDxfId="193">
      <calculatedColumnFormula>IF(Tidstabel[[#This Row],[År]]&gt;Input_Tidshorisont,BlankTegn,
IF(Tidstabel[[#This Row],[LCA-Skæring]]=1,SUM(Tidstabel[[#This Row],[År]]*(1-ABS(Tidstabel[[#This Row],[LCA-Difference]])/(ABS(Tidstabel[[#This Row],[LCA-Difference]])+ABS(O8))),A8*(1-ABS(O8)/(ABS(Tidstabel[[#This Row],[LCA-Difference]])+ABS(O8)))),"-"))</calculatedColumnFormula>
    </tableColumn>
    <tableColumn id="19" xr3:uid="{0F156125-7DD8-417D-9D94-4A9ACD07A9DA}" name="LCA-Urentabel_Y" dataDxfId="192">
      <calculatedColumnFormula>IF(Tidstabel[[#This Row],[År]]&gt;Input_Tidshorisont,BlankTegn,
IF(Tidstabel[[#This Row],[LCA-Skæring]]=1,SUM(Tidstabel[[#This Row],[Emission_Netto]]*(1-ABS(Tidstabel[[#This Row],[LCA-Difference]])/(ABS(Tidstabel[[#This Row],[LCA-Difference]])+ABS(O8))),N8*(1-ABS(O8)/(ABS(Tidstabel[[#This Row],[LCA-Difference]])+ABS(O8)))),"-"))</calculatedColumnFormula>
    </tableColumn>
    <tableColumn id="101" xr3:uid="{EF2116C8-E655-44EA-B220-7F31016BBEC0}" name="LCC-Difference" dataDxfId="191">
      <calculatedColumnFormula>IFERROR(IF(Tidstabel[[#This Row],[År]]&gt;Input_Tidshorisont,BlankTegn,
Tidstabel[[#This Row],[NPV_Klimafacade]]-Tidstabel[[#This Row],[NPV_Eksisterende]]),BlankTegn)</calculatedColumnFormula>
    </tableColumn>
    <tableColumn id="95" xr3:uid="{C3F7DC50-6E80-40F0-B6C0-B8A3A33B94F9}" name="LCC-Skæring" dataDxfId="190">
      <calculatedColumnFormula>IFERROR(IF(Tidstabel[[#This Row],[År]]&gt;Input_Tidshorisont,BlankTegn,
IF(AND(Tidstabel[[#This Row],[NPV_Klimafacade]]-Tidstabel[[#This Row],[NPV_Eksisterende]]&gt;0,AB8-AA8&lt;0),1,IF(AND(Tidstabel[[#This Row],[NPV_Klimafacade]]-Tidstabel[[#This Row],[NPV_Eksisterende]]&lt;0,AB8-AA8&gt;0),-1,0))),BlankTegn)</calculatedColumnFormula>
    </tableColumn>
    <tableColumn id="96" xr3:uid="{13AD2DD8-0E48-472F-A59A-17531DFE3D77}" name="LCC-Rentabel_X" dataDxfId="189">
      <calculatedColumnFormula>IF(Tidstabel[[#This Row],[År]]&gt;Input_Tidshorisont,BlankTegn,
IF(Tidstabel[[#This Row],[LCC-Skæring]]=-1,SUM(Tidstabel[[#This Row],[År]]*(1-ABS(Tidstabel[[#This Row],[LCC-Difference]])/(ABS(Tidstabel[[#This Row],[LCC-Difference]])+ABS(U8))),A8*(1-ABS(U8)/(ABS(Tidstabel[[#This Row],[LCC-Difference]])+ABS(U8)))),"-"))</calculatedColumnFormula>
    </tableColumn>
    <tableColumn id="97" xr3:uid="{CCD4205C-A01E-435A-8AC3-AE2019793846}" name="LCC-Rentabel_Y" dataDxfId="188">
      <calculatedColumnFormula>IF(Tidstabel[[#This Row],[År]]&gt;Input_Tidshorisont,BlankTegn,
IF(Tidstabel[[#This Row],[LCC-Skæring]]=-1,SUM(Tidstabel[[#This Row],[NPV_Klimafacade]]*(1-ABS(Tidstabel[[#This Row],[LCC-Difference]])/(ABS(Tidstabel[[#This Row],[LCC-Difference]])+ABS(U8))),AB8*(1-ABS(U8)/(ABS(Tidstabel[[#This Row],[LCC-Difference]])+ABS(U8)))),"-"))</calculatedColumnFormula>
    </tableColumn>
    <tableColumn id="98" xr3:uid="{764DCE4E-E666-4AEC-894D-A8504C7D45EB}" name="LCC-Urentabel_X" dataDxfId="187">
      <calculatedColumnFormula>IF(Tidstabel[[#This Row],[År]]&gt;Input_Tidshorisont,BlankTegn,
IF(Tidstabel[[#This Row],[LCC-Skæring]]=1,SUM(Tidstabel[[#This Row],[År]]*(1-ABS(Tidstabel[[#This Row],[LCC-Difference]])/(ABS(Tidstabel[[#This Row],[LCC-Difference]])+ABS(U8))),A8*(1-ABS(U8)/(ABS(Tidstabel[[#This Row],[LCC-Difference]])+ABS(U8)))),"-"))</calculatedColumnFormula>
    </tableColumn>
    <tableColumn id="99" xr3:uid="{0430B936-387D-43D4-8C50-D027E12289F7}" name="LCC-Urentabel_Y" dataDxfId="186">
      <calculatedColumnFormula>IF(Tidstabel[[#This Row],[År]]&gt;Input_Tidshorisont,BlankTegn,
IF(Tidstabel[[#This Row],[LCC-Skæring]]=1,SUM(Tidstabel[[#This Row],[NPV_Klimafacade]]*(1-ABS(Tidstabel[[#This Row],[LCC-Difference]])/(ABS(Tidstabel[[#This Row],[LCC-Difference]])+ABS(U8))),AB8*(1-ABS(U8)/(ABS(Tidstabel[[#This Row],[LCC-Difference]])+ABS(U8)))),"-"))</calculatedColumnFormula>
    </tableColumn>
    <tableColumn id="35" xr3:uid="{996C5CBE-6C42-454F-8F5B-37D15A46AAA6}" name="NPV_Eksisterende" dataDxfId="185">
      <calculatedColumnFormula>IF(Tidstabel[[#This Row],[År]]&gt;Input_Tidshorisont,BlankTegn,
Tidstabel[[#This Row],[EF_Vedligehold_Aggregeret]])</calculatedColumnFormula>
    </tableColumn>
    <tableColumn id="34" xr3:uid="{D830918A-D600-4921-8807-59644E8E43B0}" name="NPV_Klimafacade" dataDxfId="184">
      <calculatedColumnFormula>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calculatedColumnFormula>
    </tableColumn>
    <tableColumn id="56" xr3:uid="{EC368ED7-4B03-454E-A0F1-DF7E225EEACE}" name="NPV_KF_Opsummeret" dataDxfId="183">
      <calculatedColumnFormula>IFERROR(IF(Tidstabel[[#This Row],[År]]&gt;Input_Tidshorisont,BlankTegn,
Tidstabel[[#This Row],[KF_Anskaffelse_Aggregeret]]+Tidstabel[[#This Row],[KF_Engangsudgifter_Aggregeret]]),BlankTegn)</calculatedColumnFormula>
    </tableColumn>
    <tableColumn id="37" xr3:uid="{36188D1A-755E-4A7C-A5D6-4F51FDBFD4B7}" name="Årsomk_Eksisterende" dataDxfId="182">
      <calculatedColumnFormula>IFERROR(IF(Tidstabel[[#This Row],[År]]&gt;Input_Tidshorisont,BlankTegn,
IF(Tidstabel[[#This Row],[År]]=0,0,Tidstabel[[#This Row],[NPV_Eksisterende]]*(Tidstabel[[#This Row],[Kalkulationsrente]]/(1-(1+Tidstabel[[#This Row],[Kalkulationsrente]])^-Tidstabel[[#This Row],[År]])))),BlankTegn)</calculatedColumnFormula>
    </tableColumn>
    <tableColumn id="36" xr3:uid="{4359B721-B364-43CA-B7E3-49B84700633B}" name="Årsomk_Klimafacade" dataDxfId="181">
      <calculatedColumnFormula>IFERROR(IF(Tidstabel[[#This Row],[År]]&gt;Input_Tidshorisont,BlankTegn,
IF(Tidstabel[[#This Row],[År]]=0,0,Tidstabel[[#This Row],[NPV_Klimafacade]]*(Tidstabel[[#This Row],[Kalkulationsrente]]/(1-(1+Tidstabel[[#This Row],[Kalkulationsrente]])^-Tidstabel[[#This Row],[År]])))),BlankTegn)</calculatedColumnFormula>
    </tableColumn>
    <tableColumn id="42" xr3:uid="{701558E9-D9ED-44CD-9D35-87BD91C4AAC7}" name="EF_Ved?" dataDxfId="180">
      <calculatedColumnFormula>IF(Tidstabel[[#This Row],[År]]&gt;Input_Tidshorisont,BlankTegn,
IF(EF_Vedligehold_i=1,IF(Tidstabel[[#This Row],[EF_Uds?]]=0,1,0),IF(MAX(AF6:OFFSET(AG6,2-EF_Vedligehold_i,0),Tidstabel[[#This Row],[EF_Uds?]])=0,1,0)))</calculatedColumnFormula>
    </tableColumn>
    <tableColumn id="45" xr3:uid="{B160A55F-ACD1-4C37-AB81-2269BE82E06C}" name="EF_Uds?" dataDxfId="179">
      <calculatedColumnFormula>IF(Tidstabel[[#This Row],[År]]&gt;Input_Tidshorisont,BlankTegn,0)</calculatedColumnFormula>
    </tableColumn>
    <tableColumn id="44" xr3:uid="{1A52518F-E831-4CB2-B234-8A1CBC62B201}" name="EF_Vedligehold" dataDxfId="178">
      <calculatedColumnFormula>IF(Tidstabel[[#This Row],[År]]&gt;Input_Tidshorisont,BlankTegn,
Tidstabel[[#This Row],[EF_Ved?]]*EF_Vedligehold_p*-EF_Enhedspris*((1+Tidstabel[[#This Row],[Kalkulationsrente]])^-Tidstabel[[#This Row],[År]])*((1+PrisudviklingGenerelt)^Tidstabel[[#This Row],[År]]))</calculatedColumnFormula>
    </tableColumn>
    <tableColumn id="41" xr3:uid="{A2F9E011-DE40-4350-B577-24D27BEB1C39}" name="EF_Vedligehold_Aggregeret" dataDxfId="177">
      <calculatedColumnFormula>IF(Tidstabel[[#This Row],[År]]&gt;Input_Tidshorisont,BlankTegn,
IF(Tidstabel[[#This Row],[År]]=0,Tidstabel[[#This Row],[EF_Vedligehold]],AI6+Tidstabel[[#This Row],[EF_Vedligehold]]))</calculatedColumnFormula>
    </tableColumn>
    <tableColumn id="46" xr3:uid="{F6C22FB9-46CB-44DF-A85D-F28AEB73832A}" name="KF_Anskaffelse" dataDxfId="176">
      <calculatedColumnFormula>IFERROR(IF(Tidstabel[[#This Row],[År]]&gt;Input_Tidshorisont,BlankTegn,
Tidstabel[[#This Row],[FB_Anskaffelse]]+Tidstabel[[#This Row],[VS_Anskaffelse]]+Tidstabel[[#This Row],[EI_Anskaffelse]]+Tidstabel[[#This Row],[AP_Anskaffelse]]+Tidstabel[[#This Row],[SK_Anskaffelse]]),BlankTegn)</calculatedColumnFormula>
    </tableColumn>
    <tableColumn id="52" xr3:uid="{5722EFEB-FBFC-4244-B117-09C63BA92BF0}" name="KF_Anskaffelse_Aggregeret" dataDxfId="175">
      <calculatedColumnFormula>IFERROR(IF(Tidstabel[[#This Row],[År]]&gt;Input_Tidshorisont,BlankTegn,
IF(Tidstabel[[#This Row],[År]]=0,Tidstabel[[#This Row],[KF_Anskaffelse]],AK6+Tidstabel[[#This Row],[KF_Anskaffelse]])),BlankTegn)</calculatedColumnFormula>
    </tableColumn>
    <tableColumn id="53" xr3:uid="{22359530-0E14-4E8F-9714-2F3DF4D033C4}" name="KF_Vedligehold" dataDxfId="174">
      <calculatedColumnFormula>IFERROR(IF(Tidstabel[[#This Row],[År]]&gt;Input_Tidshorisont,BlankTegn,
Tidstabel[[#This Row],[FB_Vedligehold]]+Tidstabel[[#This Row],[VS_Vedligehold]]+Tidstabel[[#This Row],[EI_Vedligehold]]+Tidstabel[[#This Row],[AP_Vedligehold]]+Tidstabel[[#This Row],[SK_Vedligehold]]),BlankTegn)</calculatedColumnFormula>
    </tableColumn>
    <tableColumn id="54" xr3:uid="{7D6D5AE0-B25E-4E1B-B8D4-2686447A94EA}" name="KF_Vedligehold_Aggregeret" dataDxfId="173">
      <calculatedColumnFormula>IFERROR(IF(Tidstabel[[#This Row],[År]]&gt;Input_Tidshorisont,BlankTegn,
IF(Tidstabel[[#This Row],[År]]=0,Tidstabel[[#This Row],[KF_Vedligehold]],AM6+Tidstabel[[#This Row],[KF_Vedligehold]])),BlankTegn)</calculatedColumnFormula>
    </tableColumn>
    <tableColumn id="49" xr3:uid="{8E3CD702-A3DB-428D-9574-794D49B2ABF4}" name="KF_Restværdi" dataDxfId="172">
      <calculatedColumnFormula>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calculatedColumnFormula>
    </tableColumn>
    <tableColumn id="50" xr3:uid="{5F69EAEE-A8E2-4931-B259-FF779D9DE90D}" name="KF_Udskiftning_Komponent" dataDxfId="171">
      <calculatedColumnFormula>IFERROR(IF(Tidstabel[[#This Row],[År]]&gt;Input_Tidshorisont,BlankTegn,
Tidstabel[[#This Row],[FB_Udskiftning_Komponent]]+Tidstabel[[#This Row],[VS_Udskiftning_Komponent]]+Tidstabel[[#This Row],[EI_Udskiftning_Komponent]]+Tidstabel[[#This Row],[AP_Udskiftning_Komponent]]+Tidstabel[[#This Row],[SK_Udskiftning_Komponent]]),BlankTegn)</calculatedColumnFormula>
    </tableColumn>
    <tableColumn id="51" xr3:uid="{76119AFF-5EAF-466A-A58B-42A25E0D6658}" name="KF_Udskiftning_Aggregeret" dataDxfId="170">
      <calculatedColumnFormula>IFERROR(IF(Tidstabel[[#This Row],[År]]&gt;Input_Tidshorisont,BlankTegn,
IF(Tidstabel[[#This Row],[År]]=0,Tidstabel[[#This Row],[KF_Udskiftning_Komponent]],AP6+Tidstabel[[#This Row],[KF_Udskiftning_Komponent]])),BlankTegn)</calculatedColumnFormula>
    </tableColumn>
    <tableColumn id="48" xr3:uid="{659E8AE2-C26A-4441-93DF-088E3F3AB6F8}" name="KF_Engangsudgifter" dataDxfId="169">
      <calculatedColumnFormula>IF(Tidstabel[[#This Row],[År]]&gt;Input_Tidshorisont,BlankTegn,
IF(Tidstabel[[#This Row],[År]]=0,-SUM(Engangsudgifter[Udgift]),0))</calculatedColumnFormula>
    </tableColumn>
    <tableColumn id="47" xr3:uid="{695BA0A3-3328-40C0-ABAE-87BB84C22266}" name="KF_Engangsudgifter_Aggregeret" dataDxfId="168">
      <calculatedColumnFormula>IFERROR(IF(Tidstabel[[#This Row],[År]]&gt;Input_Tidshorisont,BlankTegn,
IF(Tidstabel[[#This Row],[År]]=0,Tidstabel[[#This Row],[KF_Engangsudgifter]],AR6+Tidstabel[[#This Row],[KF_Engangsudgifter]])),BlankTegn)</calculatedColumnFormula>
    </tableColumn>
    <tableColumn id="59" xr3:uid="{C32933FE-E45D-4B3F-A5A9-1F4239A43FAF}" name="KF_Energiforbrug" dataDxfId="167">
      <calculatedColumnFormula>IFERROR(IF(Tidstabel[[#This Row],[År]]&gt;Input_Tidshorisont,BlankTegn,
-Energibesparelse_Årlig),BlankTegn)</calculatedColumnFormula>
    </tableColumn>
    <tableColumn id="58" xr3:uid="{9E3CAB29-A2DC-4048-A3D1-E1F1554C2A80}" name="KF_Forsyning" dataDxfId="166">
      <calculatedColumnFormula>IFERROR(IF(Tidstabel[[#This Row],[År]]&gt;Input_Tidshorisont,BlankTegn,
IF(Tidstabel[[#This Row],[År]]=0,0,-Tidstabel[[#This Row],[KF_Energiforbrug]]*Input_Fjernvarmepris*((1+Tidstabel[[#This Row],[Kalkulationsrente]])^-Tidstabel[[#This Row],[År]])*((1+PrisudviklingFjernvarme)^Tidstabel[[#This Row],[År]]))),BlankTegn)</calculatedColumnFormula>
    </tableColumn>
    <tableColumn id="57" xr3:uid="{2F83F901-AD47-4CCE-9973-CD7725525D19}" name="KF_Forsyning_Aggregeret" dataDxfId="165">
      <calculatedColumnFormula>IFERROR(IF(Tidstabel[[#This Row],[År]]&gt;Input_Tidshorisont,BlankTegn,
IF(Tidstabel[[#This Row],[År]]=0,Tidstabel[[#This Row],[KF_Forsyning]],AU6+Tidstabel[[#This Row],[KF_Forsyning]])),BlankTegn)</calculatedColumnFormula>
    </tableColumn>
    <tableColumn id="24" xr3:uid="{9D185E73-F34B-4ED8-ADFF-7EB2FFEE55F5}" name="FB_Anskaffelse" dataDxfId="164">
      <calculatedColumnFormula>IFERROR(IF(Tidstabel[[#This Row],[År]]&gt;Input_Tidshorisont,BlankTegn,
IF(Tidstabel[[#This Row],[År]]=0,-FB_Enhedspris,0)),BlankTegn)</calculatedColumnFormula>
    </tableColumn>
    <tableColumn id="25" xr3:uid="{21813FE9-EDDF-4D54-8B16-DE19E7226DCA}" name="FB_Afskrivning" dataDxfId="163">
      <calculatedColumnFormula>IFERROR(IF(Tidstabel[[#This Row],[År]]&gt;Input_Tidshorisont,BlankTegn,
IF(Tidstabel[[#This Row],[År]]=0,FB_Enhedspris/FB_Levetid,AW6*((1+Tidstabel[[#This Row],[Kalkulationsrente]])^-1)*((1+PrisudviklingGenerelt)^1))),BlankTegn)</calculatedColumnFormula>
    </tableColumn>
    <tableColumn id="32" xr3:uid="{D286D772-7064-4FEA-B002-96863425F793}" name="FB_Ved?" dataDxfId="162">
      <calculatedColumnFormula>IFERROR(IF(Tidstabel[[#This Row],[År]]&gt;Input_Tidshorisont,BlankTegn,
IF(FB_Vedligehold_i=1,IF(Tidstabel[[#This Row],[FB_Uds?]]=0,1,0),IF(MAX(AX6:OFFSET(AY6,2-FB_Vedligehold_i,0),Tidstabel[[#This Row],[FB_Uds?]])=0,1,0))),BlankTegn)</calculatedColumnFormula>
    </tableColumn>
    <tableColumn id="31" xr3:uid="{C3ACD599-7435-4A54-A32F-999E4A9E6F2A}" name="FB_Uds?" dataDxfId="161">
      <calculatedColumnFormula>IFERROR(IF(Tidstabel[[#This Row],[År]]&gt;Input_Tidshorisont,BlankTegn,
IF(Tidstabel[[#This Row],[År]]=0,1,IF(MOD(Tidstabel[[#This Row],[År]],FB_Levetid)=0,1,IF(Tidstabel[[#This Row],[År]]=Input_Tidshorisont,0,"-")))),BlankTegn)</calculatedColumnFormula>
    </tableColumn>
    <tableColumn id="26" xr3:uid="{4B60AE60-2A37-41CF-BD68-E05CB8FDC751}" name="FB_Vedligehold" dataDxfId="160">
      <calculatedColumnFormula>IFERROR(IF(Tidstabel[[#This Row],[År]]&gt;Input_Tidshorisont,BlankTegn,
FB_Vedligehold_p*-FB_Enhedspris*Tidstabel[[#This Row],[FB_Ved?]]*((1+Tidstabel[[#This Row],[Kalkulationsrente]])^-Tidstabel[[#This Row],[År]])*((1+PrisudviklingGenerelt)^Tidstabel[[#This Row],[År]])),BlankTegn)</calculatedColumnFormula>
    </tableColumn>
    <tableColumn id="27" xr3:uid="{ED2CB00B-8B3B-48BE-B64C-308C0B1C7649}" name="FB_Restværdi" dataDxfId="159">
      <calculatedColumnFormula>IFERROR(IF(Tidstabel[[#This Row],[År]]&gt;Input_Tidshorisont,BlankTegn,
IF(Tidstabel[[#This Row],[År]]=0,FB_Enhedspris,SUM(BA6:BB6)*((1+Tidstabel[[#This Row],[Kalkulationsrente]])^-1)*((1+PrisudviklingGenerelt)^1)-Tidstabel[[#This Row],[FB_Afskrivning]])),BlankTegn)</calculatedColumnFormula>
    </tableColumn>
    <tableColumn id="28" xr3:uid="{951CB3A1-99E9-4E62-8976-AD9112DBC734}" name="FB_Restværdi_Udskiftning" dataDxfId="158">
      <calculatedColumnFormula>IFERROR(IF(Tidstabel[[#This Row],[År]]&gt;Input_Tidshorisont,BlankTegn,
IF(Tidstabel[[#This Row],[År]]=0,0,Tidstabel[[#This Row],[FB_Uds?]]*FB_Enhedspris*((1+Tidstabel[[#This Row],[Kalkulationsrente]])^-Tidstabel[[#This Row],[År]])*((1+PrisudviklingGenerelt)^Tidstabel[[#This Row],[År]]))),BlankTegn)</calculatedColumnFormula>
    </tableColumn>
    <tableColumn id="29" xr3:uid="{A4062505-CF87-4148-A048-88157EF8FF6D}" name="FB_Udskiftning_Komponent" dataDxfId="157">
      <calculatedColumnFormula>IFERROR(IF(Tidstabel[[#This Row],[År]]&gt;Input_Tidshorisont,BlankTegn,
IF(Tidstabel[[#This Row],[År]]=0,0,Tidstabel[[#This Row],[FB_Uds?]]*-FB_Enhedspris*FB_Genoprettelse*((1+Tidstabel[[#This Row],[Kalkulationsrente]])^-Tidstabel[[#This Row],[År]])*((1+PrisudviklingGenerelt)^Tidstabel[[#This Row],[År]]))),BlankTegn)</calculatedColumnFormula>
    </tableColumn>
    <tableColumn id="60" xr3:uid="{5B7F3F94-55EE-450A-85CA-0924C748EFD1}" name="VS_Anskaffelse" dataDxfId="156">
      <calculatedColumnFormula>IFERROR(IF(Tidstabel[[#This Row],[År]]&gt;Input_Tidshorisont,BlankTegn,
IF(Tidstabel[[#This Row],[År]]=0,-VS_Enhedspris,0)),BlankTegn)</calculatedColumnFormula>
    </tableColumn>
    <tableColumn id="61" xr3:uid="{A913FC16-B004-49BF-95D3-82C43553C3C7}" name="VS_Afskrivning" dataDxfId="155">
      <calculatedColumnFormula>IFERROR(IF(Tidstabel[[#This Row],[År]]&gt;Input_Tidshorisont,BlankTegn,
IF(Tidstabel[[#This Row],[År]]=0,VS_Enhedspris/VS_Levetid,BE6*((1+Tidstabel[[#This Row],[Kalkulationsrente]])^-1)*((1+PrisudviklingGenerelt)^1))),BlankTegn)</calculatedColumnFormula>
    </tableColumn>
    <tableColumn id="62" xr3:uid="{AC90DF9C-5D72-4760-9A80-C770F9739279}" name="VS_Ved?" dataDxfId="154">
      <calculatedColumnFormula>IFERROR(IF(Tidstabel[[#This Row],[År]]&gt;Input_Tidshorisont,BlankTegn,
IF(VS_Vedligehold_i=1,IF(Tidstabel[[#This Row],[VS_Uds?]]=0,1,0),IF(MAX(BF6:OFFSET(BG6,2-VS_Vedligehold_i,0),Tidstabel[[#This Row],[VS_Uds?]])=0,1,0))),BlankTegn)</calculatedColumnFormula>
    </tableColumn>
    <tableColumn id="63" xr3:uid="{FE23BC15-D9A9-4381-B60D-31388106C56F}" name="VS_Uds?" dataDxfId="153">
      <calculatedColumnFormula>IFERROR(IF(Tidstabel[[#This Row],[År]]&gt;Input_Tidshorisont,BlankTegn,
IF(Tidstabel[[#This Row],[År]]=0,1,IF(MOD(Tidstabel[[#This Row],[År]],VS_Levetid)=0,1,IF(Tidstabel[[#This Row],[År]]=Input_Tidshorisont,0,"-")))),BlankTegn)</calculatedColumnFormula>
    </tableColumn>
    <tableColumn id="64" xr3:uid="{AC1BDCE1-A617-4152-8BE5-389CDDF9AD86}" name="VS_Vedligehold" dataDxfId="152">
      <calculatedColumnFormula>IFERROR(IF(Tidstabel[[#This Row],[År]]&gt;Input_Tidshorisont,BlankTegn,
VS_Vedligehold_p*-VS_Enhedspris*Tidstabel[[#This Row],[VS_Ved?]]*((1+Tidstabel[[#This Row],[Kalkulationsrente]])^-Tidstabel[[#This Row],[År]])*((1+PrisudviklingGenerelt)^Tidstabel[[#This Row],[År]])),BlankTegn)</calculatedColumnFormula>
    </tableColumn>
    <tableColumn id="65" xr3:uid="{CB66D0D2-87E6-4117-BD0D-950B02357136}" name="VS_Restværdi" dataDxfId="151">
      <calculatedColumnFormula>IFERROR(IF(Tidstabel[[#This Row],[År]]&gt;Input_Tidshorisont,BlankTegn,
IF(Tidstabel[[#This Row],[År]]=0,VS_Enhedspris,SUM(BI6:BJ6)*((1+Tidstabel[[#This Row],[Kalkulationsrente]])^-1)*((1+PrisudviklingGenerelt)^1)-Tidstabel[[#This Row],[VS_Afskrivning]])),BlankTegn)</calculatedColumnFormula>
    </tableColumn>
    <tableColumn id="66" xr3:uid="{E747C8BF-E357-4154-9752-F525102B92C5}" name="VS_Restværdi_Udskiftning" dataDxfId="150">
      <calculatedColumnFormula>IFERROR(IF(Tidstabel[[#This Row],[År]]&gt;Input_Tidshorisont,BlankTegn,
IF(Tidstabel[[#This Row],[År]]=0,0,Tidstabel[[#This Row],[VS_Uds?]]*VS_Enhedspris*((1+Tidstabel[[#This Row],[Kalkulationsrente]])^-Tidstabel[[#This Row],[År]])*((1+PrisudviklingGenerelt)^Tidstabel[[#This Row],[År]]))),BlankTegn)</calculatedColumnFormula>
    </tableColumn>
    <tableColumn id="67" xr3:uid="{D1B63199-1B9E-4F82-AD63-0EFF1D3EDDB5}" name="VS_Udskiftning_Komponent" dataDxfId="149">
      <calculatedColumnFormula>IFERROR(IF(Tidstabel[[#This Row],[År]]&gt;Input_Tidshorisont,BlankTegn,
IF(Tidstabel[[#This Row],[År]]=0,0,Tidstabel[[#This Row],[VS_Uds?]]*-VS_Enhedspris*VS_Genoprettelse*((1+Tidstabel[[#This Row],[Kalkulationsrente]])^-Tidstabel[[#This Row],[År]])*((1+PrisudviklingGenerelt)^Tidstabel[[#This Row],[År]]))),BlankTegn)</calculatedColumnFormula>
    </tableColumn>
    <tableColumn id="68" xr3:uid="{5FF96FB7-9A55-4B6E-BB54-5D737F343529}" name="EI_Anskaffelse" dataDxfId="148">
      <calculatedColumnFormula>IFERROR(IF(Tidstabel[[#This Row],[År]]&gt;Input_Tidshorisont,BlankTegn,
IF(Tidstabel[[#This Row],[År]]=0,-EI_Enhedspris,0)),BlankTegn)</calculatedColumnFormula>
    </tableColumn>
    <tableColumn id="69" xr3:uid="{16F9D434-C739-4286-A265-EEA86EB0FE98}" name="EI_Afskrivning" dataDxfId="147">
      <calculatedColumnFormula>IFERROR(IF(Tidstabel[[#This Row],[År]]&gt;Input_Tidshorisont,BlankTegn,
IF(Tidstabel[[#This Row],[År]]=0,EI_Enhedspris/EI_Levetid,BM6*((1+Tidstabel[[#This Row],[Kalkulationsrente]])^-1)*((1+PrisudviklingGenerelt)^1))),BlankTegn)</calculatedColumnFormula>
    </tableColumn>
    <tableColumn id="70" xr3:uid="{C175E275-E44A-44B7-9A2F-1FB0CC3585B0}" name="EI_Ved?" dataDxfId="146">
      <calculatedColumnFormula>IFERROR(IF(Tidstabel[[#This Row],[År]]&gt;Input_Tidshorisont,BlankTegn,
IF(EI_Vedligehold_i=1,IF(Tidstabel[[#This Row],[EI_Uds?]]=0,1,0),IF(MAX(BN6:OFFSET(BO6,2-EI_Vedligehold_i,0),Tidstabel[[#This Row],[EI_Uds?]])=0,1,0))),BlankTegn)</calculatedColumnFormula>
    </tableColumn>
    <tableColumn id="71" xr3:uid="{D7F35BEC-4D06-415F-845B-5C14D956F5E0}" name="EI_Uds?" dataDxfId="145">
      <calculatedColumnFormula>IFERROR(IF(Tidstabel[[#This Row],[År]]&gt;Input_Tidshorisont,BlankTegn,
IF(Tidstabel[[#This Row],[År]]=0,1,IF(MOD(Tidstabel[[#This Row],[År]],EI_Levetid)=0,1,IF(Tidstabel[[#This Row],[År]]=Input_Tidshorisont,0,"-")))),BlankTegn)</calculatedColumnFormula>
    </tableColumn>
    <tableColumn id="72" xr3:uid="{C4EE4A1D-EEC1-483C-8346-CB867F3852C8}" name="EI_Vedligehold" dataDxfId="144">
      <calculatedColumnFormula>IFERROR(IF(Tidstabel[[#This Row],[År]]&gt;Input_Tidshorisont,BlankTegn,
EI_Vedligehold_p*-EI_Enhedspris*Tidstabel[[#This Row],[EI_Ved?]]*((1+Tidstabel[[#This Row],[Kalkulationsrente]])^-Tidstabel[[#This Row],[År]])*((1+PrisudviklingGenerelt)^Tidstabel[[#This Row],[År]])),BlankTegn)</calculatedColumnFormula>
    </tableColumn>
    <tableColumn id="73" xr3:uid="{BBB06DBB-932D-449B-804A-2449B2DD8F2A}" name="EI_Restværdi" dataDxfId="143">
      <calculatedColumnFormula>IFERROR(IF(Tidstabel[[#This Row],[År]]&gt;Input_Tidshorisont,BlankTegn,
IF(Tidstabel[[#This Row],[År]]=0,EI_Enhedspris,SUM(BQ6:BR6)*((1+Tidstabel[[#This Row],[Kalkulationsrente]])^-1)*((1+PrisudviklingGenerelt)^1)-Tidstabel[[#This Row],[EI_Afskrivning]])),BlankTegn)</calculatedColumnFormula>
    </tableColumn>
    <tableColumn id="74" xr3:uid="{05189A49-1A19-4184-B09C-AFED74E94167}" name="EI_Restværdi_Udskiftning" dataDxfId="142">
      <calculatedColumnFormula>IFERROR(IF(Tidstabel[[#This Row],[År]]&gt;Input_Tidshorisont,BlankTegn,
IF(Tidstabel[[#This Row],[År]]=0,0,Tidstabel[[#This Row],[EI_Uds?]]*EI_Enhedspris*((1+Tidstabel[[#This Row],[Kalkulationsrente]])^-Tidstabel[[#This Row],[År]])*((1+PrisudviklingGenerelt)^Tidstabel[[#This Row],[År]]))),BlankTegn)</calculatedColumnFormula>
    </tableColumn>
    <tableColumn id="75" xr3:uid="{12E7FF83-5CB4-45A1-8529-97EF26F5CE83}" name="EI_Udskiftning_Komponent" dataDxfId="141">
      <calculatedColumnFormula>IFERROR(IF(Tidstabel[[#This Row],[År]]&gt;Input_Tidshorisont,BlankTegn,
IF(Tidstabel[[#This Row],[År]]=0,0,Tidstabel[[#This Row],[EI_Uds?]]*-EI_Enhedspris*EI_Genoprettelse*((1+Tidstabel[[#This Row],[Kalkulationsrente]])^-Tidstabel[[#This Row],[År]])*((1+PrisudviklingGenerelt)^Tidstabel[[#This Row],[År]]))),BlankTegn)</calculatedColumnFormula>
    </tableColumn>
    <tableColumn id="76" xr3:uid="{BD05F0B6-4798-49C0-B6AF-2F89D5C6ACEF}" name="AP_Anskaffelse" dataDxfId="140">
      <calculatedColumnFormula>IFERROR(IF(Tidstabel[[#This Row],[År]]&gt;Input_Tidshorisont,BlankTegn,
IF(Tidstabel[[#This Row],[År]]=0,-AP_Enhedspris,0)),BlankTegn)</calculatedColumnFormula>
    </tableColumn>
    <tableColumn id="77" xr3:uid="{A1682A68-3ED1-4D56-B4BB-2FE2FC54B43B}" name="AP_Afskrivning" dataDxfId="139">
      <calculatedColumnFormula>IFERROR(IF(Tidstabel[[#This Row],[År]]&gt;Input_Tidshorisont,BlankTegn,
IF(Tidstabel[[#This Row],[År]]=0,AP_Enhedspris/AP_Levetid,BU6*((1+Tidstabel[[#This Row],[Kalkulationsrente]])^-1)*((1+PrisudviklingGenerelt)^1))),BlankTegn)</calculatedColumnFormula>
    </tableColumn>
    <tableColumn id="78" xr3:uid="{F45219B5-3188-4AD8-99BC-4714647A1958}" name="AP_Ved?" dataDxfId="138">
      <calculatedColumnFormula>IFERROR(IF(Tidstabel[[#This Row],[År]]&gt;Input_Tidshorisont,BlankTegn,
IF(AP_Vedligehold_i=1,IF(Tidstabel[[#This Row],[AP_Uds?]]=0,1,0),IF(MAX(BV6:OFFSET(BW6,2-AP_Vedligehold_i,0),Tidstabel[[#This Row],[AP_Uds?]])=0,1,0))),BlankTegn)</calculatedColumnFormula>
    </tableColumn>
    <tableColumn id="79" xr3:uid="{F13534E8-1701-41EC-9EF5-5502029C9541}" name="AP_Uds?" dataDxfId="137">
      <calculatedColumnFormula>IFERROR(IF(Tidstabel[[#This Row],[År]]&gt;Input_Tidshorisont,BlankTegn,
IF(Tidstabel[[#This Row],[År]]=0,1,IF(MOD(Tidstabel[[#This Row],[År]],AP_Levetid)=0,1,IF(Tidstabel[[#This Row],[År]]=Input_Tidshorisont,0,"-")))),BlankTegn)</calculatedColumnFormula>
    </tableColumn>
    <tableColumn id="80" xr3:uid="{A7D3FCFD-1501-472F-A944-7FA8AA6FB8C3}" name="AP_Vedligehold" dataDxfId="136">
      <calculatedColumnFormula>IFERROR(IF(Tidstabel[[#This Row],[År]]&gt;Input_Tidshorisont,BlankTegn,
AP_Vedligehold_p*-AP_Enhedspris*Tidstabel[[#This Row],[AP_Ved?]]*((1+Tidstabel[[#This Row],[Kalkulationsrente]])^-Tidstabel[[#This Row],[År]])*((1+PrisudviklingGenerelt)^Tidstabel[[#This Row],[År]])),BlankTegn)</calculatedColumnFormula>
    </tableColumn>
    <tableColumn id="81" xr3:uid="{D78762C3-A046-4731-80BB-54276E2E2B61}" name="AP_Restværdi" dataDxfId="135">
      <calculatedColumnFormula>IFERROR(IF(Tidstabel[[#This Row],[År]]&gt;Input_Tidshorisont,BlankTegn,
IF(Tidstabel[[#This Row],[År]]=0,AP_Enhedspris,SUM(BY6:BZ6)*((1+Tidstabel[[#This Row],[Kalkulationsrente]])^-1)*((1+PrisudviklingGenerelt)^1)-Tidstabel[[#This Row],[AP_Afskrivning]])),BlankTegn)</calculatedColumnFormula>
    </tableColumn>
    <tableColumn id="82" xr3:uid="{F58D0C88-2DC8-4D9E-8604-D011B4FE25FE}" name="AP_Restværdi_Udskiftning" dataDxfId="134">
      <calculatedColumnFormula>IFERROR(IF(Tidstabel[[#This Row],[År]]&gt;Input_Tidshorisont,BlankTegn,
IF(Tidstabel[[#This Row],[År]]=0,0,Tidstabel[[#This Row],[AP_Uds?]]*AP_Enhedspris*((1+Tidstabel[[#This Row],[Kalkulationsrente]])^-Tidstabel[[#This Row],[År]])*((1+PrisudviklingGenerelt)^Tidstabel[[#This Row],[År]]))),BlankTegn)</calculatedColumnFormula>
    </tableColumn>
    <tableColumn id="83" xr3:uid="{3558B837-3D75-4D70-BADD-A64B5BA99F0A}" name="AP_Udskiftning_Komponent" dataDxfId="133">
      <calculatedColumnFormula>IFERROR(IF(Tidstabel[[#This Row],[År]]&gt;Input_Tidshorisont,BlankTegn,
IF(Tidstabel[[#This Row],[År]]=0,0,Tidstabel[[#This Row],[AP_Uds?]]*-AP_Enhedspris*AP_Genoprettelse*((1+Tidstabel[[#This Row],[Kalkulationsrente]])^-Tidstabel[[#This Row],[År]])*((1+PrisudviklingGenerelt)^Tidstabel[[#This Row],[År]]))),BlankTegn)</calculatedColumnFormula>
    </tableColumn>
    <tableColumn id="84" xr3:uid="{6FA2EDB4-6D4C-497E-9713-4B828EEDC31F}" name="SK_Anskaffelse" dataDxfId="132">
      <calculatedColumnFormula>IFERROR(IF(Tidstabel[[#This Row],[År]]&gt;Input_Tidshorisont,BlankTegn,
IF(Tidstabel[[#This Row],[År]]=0,-SK_Enhedspris,0)),BlankTegn)</calculatedColumnFormula>
    </tableColumn>
    <tableColumn id="85" xr3:uid="{1452DAC7-5889-41E5-B110-A1247FDFFE8E}" name="SK_Afskrivning" dataDxfId="131">
      <calculatedColumnFormula>IFERROR(IF(Tidstabel[[#This Row],[År]]&gt;Input_Tidshorisont,BlankTegn,
IF(Tidstabel[[#This Row],[År]]=0,SK_Enhedspris/SK_Levetid,CC6*((1+Tidstabel[[#This Row],[Kalkulationsrente]])^-1)*((1+PrisudviklingGenerelt)^1))),BlankTegn)</calculatedColumnFormula>
    </tableColumn>
    <tableColumn id="86" xr3:uid="{9E80376E-1723-4114-B462-6A0DD0CBB7B0}" name="SK_Ved?" dataDxfId="130">
      <calculatedColumnFormula>IFERROR(IF(Tidstabel[[#This Row],[År]]&gt;Input_Tidshorisont,BlankTegn,
IF(SK_Vedligehold_i=1,IF(Tidstabel[[#This Row],[SK_Uds?]]=0,1,0),IF(MAX(CD6:OFFSET(CE6,2-SK_Vedligehold_i,0),Tidstabel[[#This Row],[SK_Uds?]])=0,1,0))),BlankTegn)</calculatedColumnFormula>
    </tableColumn>
    <tableColumn id="87" xr3:uid="{CCB16B21-D67E-4BE6-A66C-ADEA0097FDAD}" name="SK_Uds?" dataDxfId="129">
      <calculatedColumnFormula>IFERROR(IF(Tidstabel[[#This Row],[År]]&gt;Input_Tidshorisont,BlankTegn,
IF(Tidstabel[[#This Row],[År]]=0,1,IF(MOD(Tidstabel[[#This Row],[År]],SK_Levetid)=0,1,IF(Tidstabel[[#This Row],[År]]=Input_Tidshorisont,0,"-")))),BlankTegn)</calculatedColumnFormula>
    </tableColumn>
    <tableColumn id="88" xr3:uid="{D6F190C1-0F09-4AAA-B1EE-C8A036466CF6}" name="SK_Vedligehold" dataDxfId="128">
      <calculatedColumnFormula>IFERROR(IF(Tidstabel[[#This Row],[År]]&gt;Input_Tidshorisont,BlankTegn,
SK_Vedligehold_p*-SK_Enhedspris*Tidstabel[[#This Row],[SK_Ved?]]*((1+Tidstabel[[#This Row],[Kalkulationsrente]])^-Tidstabel[[#This Row],[År]])*((1+PrisudviklingGenerelt)^Tidstabel[[#This Row],[År]])),BlankTegn)</calculatedColumnFormula>
    </tableColumn>
    <tableColumn id="89" xr3:uid="{CB50F846-D843-45FF-BF14-EACEC7E043CB}" name="SK_Restværdi" dataDxfId="127">
      <calculatedColumnFormula>IFERROR(IF(Tidstabel[[#This Row],[År]]&gt;Input_Tidshorisont,BlankTegn,
IF(Tidstabel[[#This Row],[År]]=0,SK_Enhedspris,SUM(CG6:CH6)*((1+Tidstabel[[#This Row],[Kalkulationsrente]])^-1)*((1+PrisudviklingGenerelt)^1)-Tidstabel[[#This Row],[SK_Afskrivning]])),BlankTegn)</calculatedColumnFormula>
    </tableColumn>
    <tableColumn id="90" xr3:uid="{E94B9AF6-56D9-47B1-AE2F-A74DC11F90CC}" name="SK_Restværdi_Udskiftning" dataDxfId="126">
      <calculatedColumnFormula>IFERROR(IF(Tidstabel[[#This Row],[År]]&gt;Input_Tidshorisont,BlankTegn,
IF(Tidstabel[[#This Row],[År]]=0,0,Tidstabel[[#This Row],[SK_Uds?]]*SK_Enhedspris*((1+Tidstabel[[#This Row],[Kalkulationsrente]])^-Tidstabel[[#This Row],[År]])*((1+PrisudviklingGenerelt)^Tidstabel[[#This Row],[År]]))),BlankTegn)</calculatedColumnFormula>
    </tableColumn>
    <tableColumn id="91" xr3:uid="{6FA9F2C7-6342-400C-A29A-EDEEEC5BF4D2}" name="SK_Udskiftning_Komponent" dataDxfId="125">
      <calculatedColumnFormula>IFERROR(IF(Tidstabel[[#This Row],[År]]&gt;Input_Tidshorisont,BlankTegn,
IF(Tidstabel[[#This Row],[År]]=0,0,Tidstabel[[#This Row],[SK_Uds?]]*-SK_Enhedspris*SK_Genoprettelse*((1+Tidstabel[[#This Row],[Kalkulationsrente]])^-Tidstabel[[#This Row],[År]])*((1+PrisudviklingGenerelt)^Tidstabel[[#This Row],[År]]))),BlankTegn)</calculatedColumnFormula>
    </tableColumn>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F5F630-5725-420D-8244-3C75A9736DBB}" name="Liste_Facadebeklædning" displayName="Liste_Facadebeklædning" ref="B5:C13" totalsRowShown="0" headerRowDxfId="49">
  <autoFilter ref="B5:C13" xr:uid="{AEF5F630-5725-420D-8244-3C75A9736DBB}"/>
  <tableColumns count="2">
    <tableColumn id="1" xr3:uid="{D0E4B914-2C5A-4FA9-8FEC-BC5DD77BF9EC}" name="Facadebeklædning"/>
    <tableColumn id="2" xr3:uid="{698AF1FC-570F-4F62-B15E-39465AF59CEA}" name="Enhed"/>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FB8D2B-1C89-4D58-9465-62B3A1B0D6F1}" name="Liste_Vindspærre" displayName="Liste_Vindspærre" ref="B15:C23" totalsRowShown="0" headerRowDxfId="48">
  <autoFilter ref="B15:C23" xr:uid="{F4FB8D2B-1C89-4D58-9465-62B3A1B0D6F1}"/>
  <tableColumns count="2">
    <tableColumn id="1" xr3:uid="{32233AA6-5EB2-401D-9DEE-8CB772C6B13B}" name="Vindspærre"/>
    <tableColumn id="2" xr3:uid="{5D09F0DB-9D35-4746-A9E2-F81F3E332426}" name="Enhed"/>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3D3E0A-1F7A-48F6-AB47-FA206A3825F1}" name="Liste_Isolering" displayName="Liste_Isolering" ref="B25:C32" totalsRowShown="0" headerRowDxfId="47">
  <autoFilter ref="B25:C32" xr:uid="{E63D3E0A-1F7A-48F6-AB47-FA206A3825F1}"/>
  <tableColumns count="2">
    <tableColumn id="1" xr3:uid="{F194A76E-6154-424B-A582-EC36E299FFBF}" name="Efterisolering"/>
    <tableColumn id="2" xr3:uid="{226526D8-054E-4F63-80E4-20B959DD5BD6}" name="Enhed"/>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AA97A60-98DE-4852-899F-BDF307988270}" name="Liste_Afstandsprofil" displayName="Liste_Afstandsprofil" ref="B44:C48" totalsRowShown="0" headerRowDxfId="46">
  <autoFilter ref="B44:C48" xr:uid="{5AA97A60-98DE-4852-899F-BDF307988270}"/>
  <tableColumns count="2">
    <tableColumn id="1" xr3:uid="{BEE7A64F-5209-4EE0-B3F2-30558A6D6B06}" name="Afstandsprofil"/>
    <tableColumn id="2" xr3:uid="{783B816E-5B87-475E-B1A3-0C1A880D1103}" name="Enhed"/>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F9D4C8F-6184-4F65-B38D-EAE91A332AB2}" name="Liste_Skelet" displayName="Liste_Skelet" ref="B50:C54" totalsRowShown="0" headerRowDxfId="45">
  <autoFilter ref="B50:C54" xr:uid="{DF9D4C8F-6184-4F65-B38D-EAE91A332AB2}"/>
  <tableColumns count="2">
    <tableColumn id="1" xr3:uid="{1C62F50F-7344-489E-8505-BA8878002BD5}" name="Skelet"/>
    <tableColumn id="2" xr3:uid="{B8CC4986-B3A1-4A4A-ABB8-351B147FC354}" name="Enhed"/>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B1555D7-9736-4BFA-9A29-DA3568477786}" name="Liste_Tidshorisont" displayName="Liste_Tidshorisont" ref="B56:C60" totalsRowShown="0" dataDxfId="44">
  <autoFilter ref="B56:C60" xr:uid="{BB1555D7-9736-4BFA-9A29-DA3568477786}"/>
  <tableColumns count="2">
    <tableColumn id="1" xr3:uid="{CDC7FA5F-AD4E-4A73-AFD2-54BA5F518078}" name="Tidshorisont" dataDxfId="43"/>
    <tableColumn id="2" xr3:uid="{F34C0DC1-3F89-465D-BE1C-49737B914AB5}" name="Enhed" dataDxfId="42"/>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34301B9-A776-49BE-8653-BAC729363E3B}" name="Liste_Isoleringstykkelse" displayName="Liste_Isoleringstykkelse" ref="B34:C38" totalsRowShown="0" dataDxfId="41">
  <autoFilter ref="B34:C38" xr:uid="{B34301B9-A776-49BE-8653-BAC729363E3B}"/>
  <tableColumns count="2">
    <tableColumn id="1" xr3:uid="{E25BF7B0-506E-45D0-91F1-3476B1801905}" name="Isoleringstykkelse" dataDxfId="40"/>
    <tableColumn id="2" xr3:uid="{437472DB-4909-4847-9EE1-AC2F6FFC1F15}" name="Isoleringsevne" dataDxfId="39"/>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CDBA528-7A5C-46AD-B868-88AA9776F5FF}" name="Liste_EksisterendeFacade" displayName="Liste_EksisterendeFacade" ref="B62:B79" totalsRowShown="0">
  <autoFilter ref="B62:B79" xr:uid="{3CDBA528-7A5C-46AD-B868-88AA9776F5FF}"/>
  <tableColumns count="1">
    <tableColumn id="1" xr3:uid="{A372447A-0474-4128-9D34-0069EAD347A1}" name="Eksisterende facade og isolering"/>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794D520-540D-4D47-BE57-C6201762C8BA}" name="Liste_Etableringsår" displayName="Liste_Etableringsår" ref="B81:B88" totalsRowShown="0" dataDxfId="38">
  <autoFilter ref="B81:B88" xr:uid="{9794D520-540D-4D47-BE57-C6201762C8BA}"/>
  <tableColumns count="1">
    <tableColumn id="1" xr3:uid="{2B00789C-F616-4FE6-AF12-DE9905111C16}" name="Etableringsår" dataDxfId="37"/>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08EE6BE-76F8-45BC-A7FA-613F037EB1C2}" name="Liste_SamletIsolering" displayName="Liste_SamletIsolering" ref="B40:B42" totalsRowShown="0">
  <autoFilter ref="B40:B42" xr:uid="{908EE6BE-76F8-45BC-A7FA-613F037EB1C2}"/>
  <tableColumns count="1">
    <tableColumn id="1" xr3:uid="{9FA944E8-FFDD-4A6C-8FC8-7B7F2F02179E}" name="Samlet isolering"/>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83B6588-B31A-4A04-AE9F-3FC5D0D8B99F}" name="Materialedata" displayName="Materialedata" ref="A2:AH49" totalsRowShown="0" headerRowDxfId="124" dataDxfId="123">
  <autoFilter ref="A2:AH49" xr:uid="{B83B6588-B31A-4A04-AE9F-3FC5D0D8B99F}"/>
  <tableColumns count="34">
    <tableColumn id="6" xr3:uid="{394039CC-CE99-4C4A-BAAD-639BFBCF99FD}" name="Komponent" dataDxfId="122"/>
    <tableColumn id="10" xr3:uid="{E257B0FF-B739-46CF-B20B-0567669B192D}" name="Materiale" dataDxfId="121"/>
    <tableColumn id="7" xr3:uid="{53BD9E6C-7938-4332-B0DE-AC95F1E7BE48}" name="Referencer til miljødata" dataDxfId="120"/>
    <tableColumn id="25" xr3:uid="{250BB51C-7857-4DC8-80C6-EFFBC9ECB67C}" name="Referencer til kombinationsmuligheder" dataDxfId="119" dataCellStyle="Hyperlink"/>
    <tableColumn id="19" xr3:uid="{7105072F-832E-4F01-AD39-55407C4558FA}" name="Noter (vedr. både LCA og LCC)" dataDxfId="118"/>
    <tableColumn id="12" xr3:uid="{24627484-9ADB-43AB-86BF-CC73856992AD}" name="Standardenhed" dataDxfId="117"/>
    <tableColumn id="3" xr3:uid="{6245808C-98AD-4FD5-AED9-064C0CE0FB41}" name="Levetid" dataDxfId="116"/>
    <tableColumn id="9" xr3:uid="{A06C26DB-9CFF-4AE0-9F89-14B709BE8050}" name="Densitet" dataDxfId="115"/>
    <tableColumn id="26" xr3:uid="{38F4F512-7718-4379-92AE-5F3566F00FA4}" name="Mængde/m²" dataDxfId="114"/>
    <tableColumn id="27" xr3:uid="{5532C6F9-1D26-46B4-BE8D-F67D8866854A}" name="Mængde-enhed" dataDxfId="113"/>
    <tableColumn id="11" xr3:uid="{DF0A2059-528A-4304-AE84-7E96BBBC5F30}" name="A1-A3/standardenhed" dataDxfId="112"/>
    <tableColumn id="45" xr3:uid="{D1D32B40-BDB9-42FD-83B4-3435ED22369E}" name="A4-gruppe" dataDxfId="111"/>
    <tableColumn id="36" xr3:uid="{FCD3C7A5-80C2-4736-A1C8-23240D679027}" name="A4/kg" dataDxfId="110">
      <calculatedColumnFormula>IF(ISBLANK(Materialedata[[#This Row],[A4-gruppe]]),"-",_xlfn.XLOOKUP(Materialedata[[#This Row],[A4-gruppe]],Byggeproces[Gruppe/Undergruppe],Byggeproces[GWP],"---",0))</calculatedColumnFormula>
    </tableColumn>
    <tableColumn id="14" xr3:uid="{0DD0DF8C-26CD-4E6E-B0F0-34EB8B0CC5FA}" name="C3/enhed" dataDxfId="109"/>
    <tableColumn id="13" xr3:uid="{9185BB09-F341-4063-8F49-A1DB62E499D8}" name="C4/enhed" dataDxfId="108"/>
    <tableColumn id="8" xr3:uid="{A83428B9-7BED-4337-959F-1DBD82C0D96D}" name="D/enhed" dataDxfId="107"/>
    <tableColumn id="17" xr3:uid="{1CED19EA-8AC5-455C-8F0F-1548C62C10B5}" name="A1-A3/m²_nyt" dataDxfId="106">
      <calculatedColumnFormula>Materialedata[[#This Row],[A1-A3/standardenhed]]</calculatedColumnFormula>
    </tableColumn>
    <tableColumn id="37" xr3:uid="{6FE55872-F803-49E5-9061-E6C78EB14C59}" name="A4/m²_nyt" dataDxfId="105"/>
    <tableColumn id="18" xr3:uid="{A44CF265-8F96-4705-B80E-109BDB8A1AF1}" name="C3/m²_nyt" dataDxfId="104"/>
    <tableColumn id="15" xr3:uid="{8BF0FA76-0115-46B7-80F0-8F31EF47E157}" name="C4/m²_nyt" dataDxfId="103"/>
    <tableColumn id="16" xr3:uid="{876C7075-52FC-4E14-9D10-BBB2DE975B9A}" name="D/m²_nyt" dataDxfId="102"/>
    <tableColumn id="30" xr3:uid="{AB6461DF-B28F-4E5B-A68E-C92203B1008C}" name="Genbrug" dataDxfId="101">
      <calculatedColumnFormula>IFERROR(INDEX(Range_Materiale_Genbrug,MATCH(Materialedata[[#This Row],[Komponent]],Facadekomponenter,0)),BlankTegn)</calculatedColumnFormula>
    </tableColumn>
    <tableColumn id="31" xr3:uid="{A0BD2E15-BD47-495B-B18B-C07FA200EE32}" name="Nyt" dataDxfId="100">
      <calculatedColumnFormula>IFERROR(1-Materialedata[[#This Row],[Genbrug]],"-")</calculatedColumnFormula>
    </tableColumn>
    <tableColumn id="38" xr3:uid="{62942644-A624-4367-8766-68D1CCCE48B1}" name="A1-A3/m²" dataDxfId="99">
      <calculatedColumnFormula>IFERROR(Materialedata[[#This Row],[A1-A3/m²_nyt]]*Materialedata[[#This Row],[Nyt]],"-")</calculatedColumnFormula>
    </tableColumn>
    <tableColumn id="35" xr3:uid="{AA2B337F-4A36-4216-94FF-31D659872C2D}" name="A4/m²" dataDxfId="98">
      <calculatedColumnFormula>Materialedata[[#This Row],[A4/m²_nyt]]</calculatedColumnFormula>
    </tableColumn>
    <tableColumn id="34" xr3:uid="{6F9679F0-0690-46C4-8EBA-E3BD2DA3F8D3}" name="C3/m²" dataDxfId="97">
      <calculatedColumnFormula>IFERROR(Materialedata[[#This Row],[C3/m²_nyt]]*Materialedata[[#This Row],[Nyt]],"-")</calculatedColumnFormula>
    </tableColumn>
    <tableColumn id="33" xr3:uid="{610D89A0-D1AA-4D99-AB14-8AA2D2E1BFCD}" name="C4/m²" dataDxfId="96">
      <calculatedColumnFormula>IFERROR(Materialedata[[#This Row],[C4/m²_nyt]]*Materialedata[[#This Row],[Nyt]],"-")</calculatedColumnFormula>
    </tableColumn>
    <tableColumn id="32" xr3:uid="{681CAB90-F484-4EF7-91A2-99AFDCF51633}" name="D/m²" dataDxfId="95">
      <calculatedColumnFormula>IFERROR(Materialedata[[#This Row],[D/m²_nyt]]*Materialedata[[#This Row],[Nyt]],"-")</calculatedColumnFormula>
    </tableColumn>
    <tableColumn id="20" xr3:uid="{5146E06E-19C2-492A-A3BE-CF227E1DF8ED}" name="Pris/enhed" dataDxfId="94"/>
    <tableColumn id="21" xr3:uid="{F940CCBA-5D7D-4354-B013-F9C70A1AFE8C}" name="Pris-enhed" dataDxfId="93"/>
    <tableColumn id="24" xr3:uid="{FB261CF9-95D8-4896-B4C3-791DB5CA0084}" name="Omregning" dataDxfId="92"/>
    <tableColumn id="23" xr3:uid="{0E59FBE0-0F3B-4EBC-BB80-42C7E67865F5}" name="Pris/m²" dataDxfId="91">
      <calculatedColumnFormula>Materialedata[[#This Row],[Pris/enhed]]*Materialedata[[#This Row],[Omregning]]</calculatedColumnFormula>
    </tableColumn>
    <tableColumn id="4" xr3:uid="{A8F2096B-7597-4D7D-AED9-3510B555CCC2}" name="V-procent" dataDxfId="90"/>
    <tableColumn id="5" xr3:uid="{8146F3C1-B46A-41D6-9347-76799C8C55EC}" name="V-interval" dataDxfId="89"/>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D9E936F-A950-41FC-828F-73DB4E8A488A}" name="Byggeproces" displayName="Byggeproces" ref="A3:C29" totalsRowShown="0" headerRowDxfId="88" dataDxfId="87">
  <autoFilter ref="A3:C29" xr:uid="{4D9E936F-A950-41FC-828F-73DB4E8A488A}"/>
  <tableColumns count="3">
    <tableColumn id="1" xr3:uid="{3529B198-0500-4F98-86A9-DB4C855F1960}" name="Klassificering" dataDxfId="86"/>
    <tableColumn id="2" xr3:uid="{29CBED3C-7AB8-477C-A290-54ED02CFBACE}" name="Gruppe/Undergruppe" dataDxfId="85"/>
    <tableColumn id="3" xr3:uid="{BBB0F23A-68CE-428C-BED4-9235AB1ABE70}" name="GWP" dataDxfId="84"/>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789F6FE-CF86-4EC0-A417-522694AED41B}" name="Vedligeholdelsesmaterialer" displayName="Vedligeholdelsesmaterialer" ref="A2:D5" totalsRowShown="0" headerRowBorderDxfId="83" tableBorderDxfId="82">
  <autoFilter ref="A2:D5" xr:uid="{C789F6FE-CF86-4EC0-A417-522694AED41B}"/>
  <tableColumns count="4">
    <tableColumn id="1" xr3:uid="{78750BB2-FE21-4D8E-8DF3-AF2B4474C756}" name="LCA-fase"/>
    <tableColumn id="2" xr3:uid="{31F1A16C-262D-4028-80BF-45FB36AD55A3}" name="Puds"/>
    <tableColumn id="3" xr3:uid="{C50C821D-FA3A-41E5-983E-739687483F4A}" name="Facadefarve"/>
    <tableColumn id="4" xr3:uid="{52B5FDB5-13CA-4235-B1B2-0CB0888E5F77}" name="Grunder og mellemmaling"/>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989FF62-2509-4EEB-A4C4-2679576532E3}" name="Energiberegning" displayName="Energiberegning" ref="A7:I23" totalsRowShown="0">
  <autoFilter ref="A7:I23" xr:uid="{D989FF62-2509-4EEB-A4C4-2679576532E3}"/>
  <tableColumns count="9">
    <tableColumn id="1" xr3:uid="{0A3D6821-110E-4404-9B26-14D2AF8B2791}" name="Ydervæg"/>
    <tableColumn id="10" xr3:uid="{6581D669-0FD3-4238-9F1C-FEA267C790E0}" name="Mur" dataDxfId="81">
      <calculatedColumnFormula>_xlfn.NUMBERVALUE(LEFT(Energiberegning[[#This Row],[Ydervæg]],2))</calculatedColumnFormula>
    </tableColumn>
    <tableColumn id="8" xr3:uid="{59F0F805-F123-41C9-8227-8262D8CE8C25}" name="Nuværende isolering"/>
    <tableColumn id="2" xr3:uid="{2114B885-E0AF-4B63-8018-441B89AB1002}" name="Efterisolering"/>
    <tableColumn id="9" xr3:uid="{B3221981-8F7A-4A91-8B03-5DA48D903BF9}" name="Samlet isolering" dataDxfId="80">
      <calculatedColumnFormula>Energiberegning[[#This Row],[Nuværende isolering]]+Energiberegning[[#This Row],[Efterisolering]]</calculatedColumnFormula>
    </tableColumn>
    <tableColumn id="3" xr3:uid="{9D4573BD-E145-4CC3-83CD-19ABD046D0D5}" name="U_Eksisterende"/>
    <tableColumn id="5" xr3:uid="{290AB07E-3415-4F2A-B7F6-7C2ABC950F88}" name="U_Samlet"/>
    <tableColumn id="6" xr3:uid="{C95F42B8-BEAD-426B-969F-8A6D1DD33598}" name="Besparelse_1000_m²" dataDxfId="79"/>
    <tableColumn id="7" xr3:uid="{EA22E9E6-F5FF-4500-9654-6EDE8BCB4DF0}" name="Besparelse_m²" dataDxfId="78">
      <calculatedColumnFormula>Energiberegning[[#This Row],[Besparelse_1000_m²]]/1000</calculatedColumnFormula>
    </tableColumn>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1B02446-C221-4738-9119-5321FFE36C40}" name="Energiprognose" displayName="Energiprognose" ref="A2:C109" totalsRowShown="0" headerRowDxfId="77" headerRowBorderDxfId="76" tableBorderDxfId="75" totalsRowBorderDxfId="74">
  <autoFilter ref="A2:C109" xr:uid="{A1B02446-C221-4738-9119-5321FFE36C40}"/>
  <tableColumns count="3">
    <tableColumn id="1" xr3:uid="{6D47B307-B8CC-47D4-A924-955D3DB3064D}" name="År" dataDxfId="73"/>
    <tableColumn id="2" xr3:uid="{0F9F0A0B-36D1-48AB-A8A0-8839745CE2E6}" name="El" dataDxfId="72"/>
    <tableColumn id="3" xr3:uid="{EC93ED0D-CE6E-47AF-BA9A-C3C2507600F0}" name="Fjernvarme" dataDxfId="71"/>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F677FC-3430-4726-9576-D4CC9DE8A61E}" name="Økonomi_Klimafacade" displayName="Økonomi_Klimafacade" ref="J4:P9" totalsRowShown="0" headerRowDxfId="70" headerRowBorderDxfId="69" tableBorderDxfId="68">
  <autoFilter ref="J4:P9" xr:uid="{26F677FC-3430-4726-9576-D4CC9DE8A61E}"/>
  <tableColumns count="7">
    <tableColumn id="1" xr3:uid="{EBEA3C33-8DF6-48C0-A8E5-EB1357F9C935}" name="Komponent"/>
    <tableColumn id="2" xr3:uid="{EA60C585-8CCE-494D-BEEF-3DF96AFF16E4}" name="Materiale" dataDxfId="67"/>
    <tableColumn id="3" xr3:uid="{4022511B-987F-408F-AC36-2BFC0A806621}" name="Enhedspris" dataDxfId="66">
      <calculatedColumnFormula array="1">IFERROR(INDEX(Materialedata[Pris/m²],MATCH(1,(Materialedata[Komponent]=Økonomi_Klimafacade[[#This Row],[Komponent]])*(Materialedata[Materiale]=Økonomi_Klimafacade[[#This Row],[Materiale]]),0))
*((1+Byggeomkostningsindeks)^(Input_Etableringsår-MolioPrisdataÅr)),BlankTegn)</calculatedColumnFormula>
    </tableColumn>
    <tableColumn id="5" xr3:uid="{67ACE5C7-A0B5-48F0-A910-16B62F5B7C28}" name="V-procent" dataDxfId="65">
      <calculatedColumnFormula array="1">IFERROR(INDEX(Materialedata[V-procent],MATCH(1,(Materialedata[Komponent]=Økonomi_Klimafacade[[#This Row],[Komponent]])*(Materialedata[Materiale]=Økonomi_Klimafacade[[#This Row],[Materiale]]),0)),BlankTegn)</calculatedColumnFormula>
    </tableColumn>
    <tableColumn id="6" xr3:uid="{B204118B-7BCA-4365-95DC-FF14ED512482}" name="V-interval" dataDxfId="64">
      <calculatedColumnFormula array="1">IFERROR(INDEX(Materialedata[V-interval],MATCH(1,(Materialedata[Komponent]=Økonomi_Klimafacade[[#This Row],[Komponent]])*(Materialedata[Materiale]=Økonomi_Klimafacade[[#This Row],[Materiale]]),0)),BlankTegn)</calculatedColumnFormula>
    </tableColumn>
    <tableColumn id="7" xr3:uid="{FFF05862-F94A-418D-95BE-30F487E66268}" name="Levetid" dataDxfId="63">
      <calculatedColumnFormula array="1">IFERROR(INDEX(Materialedata[Levetid],MATCH(1,(Materialedata[Komponent]=Økonomi_Klimafacade[[#This Row],[Komponent]])*(Materialedata[Materiale]=Økonomi_Klimafacade[[#This Row],[Materiale]]),0)),BlankTegn)</calculatedColumnFormula>
    </tableColumn>
    <tableColumn id="8" xr3:uid="{53EEA4E2-D40A-43F0-8175-A19AC8106A93}" name="Genoprettelse" dataDxfId="62"/>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4D0B599-DABE-4668-A77F-E3917A390CE1}" name="Økonomi_EksisterendeYdervæg" displayName="Økonomi_EksisterendeYdervæg" ref="J1:O2" totalsRowShown="0" headerRowDxfId="61" tableBorderDxfId="60">
  <autoFilter ref="J1:O2" xr:uid="{E4D0B599-DABE-4668-A77F-E3917A390CE1}"/>
  <tableColumns count="6">
    <tableColumn id="1" xr3:uid="{F0085A9F-A85D-4B80-ADAD-599EC9ECED2A}" name="Komponent" dataDxfId="59"/>
    <tableColumn id="2" xr3:uid="{D5870854-4EDE-4368-99E6-3583813881C5}" name="Materiale" dataDxfId="58"/>
    <tableColumn id="3" xr3:uid="{81345B23-3C0A-4B55-8201-AFE66FAA576C}" name="Enhedspris" dataDxfId="57">
      <calculatedColumnFormula>IFERROR(INDEX(Materialedata[Pris/m²],MATCH(Økonomi_EksisterendeYdervæg[[#This Row],[Materiale]],Materialedata[Materiale],0)),BlankTegn)</calculatedColumnFormula>
    </tableColumn>
    <tableColumn id="5" xr3:uid="{CF77304A-3600-4278-87B3-7EA9667DAA69}" name="V-procent" dataDxfId="56">
      <calculatedColumnFormula>IFERROR(INDEX(Materialedata[V-procent],MATCH(Økonomi_EksisterendeYdervæg[[#This Row],[Materiale]],Materialedata[Materiale],0)),BlankTegn)</calculatedColumnFormula>
    </tableColumn>
    <tableColumn id="6" xr3:uid="{FF26CAA0-C818-4FF6-AABB-FDB4C1F8363E}" name="V-interval" dataDxfId="55">
      <calculatedColumnFormula>IFERROR(INDEX(Materialedata[V-interval],MATCH(Økonomi_EksisterendeYdervæg[[#This Row],[Materiale]],Materialedata[Materiale],0)),BlankTegn)</calculatedColumnFormula>
    </tableColumn>
    <tableColumn id="7" xr3:uid="{1EA7B697-A03C-4C56-92B6-63D2B1819DE5}" name="Levetid" dataDxfId="54">
      <calculatedColumnFormula>IFERROR(INDEX(Materialedata[Levetid],MATCH(Økonomi_EksisterendeYdervæg[[#This Row],[Materiale]],Materialedata[Materiale],0)),BlankTegn)</calculatedColumnFormula>
    </tableColumn>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FFF8D32-0C45-4E9A-800C-0E6611EAA965}" name="Engangsudgifter" displayName="Engangsudgifter" ref="J14:L16" totalsRowShown="0" tableBorderDxfId="53">
  <autoFilter ref="J14:L16" xr:uid="{BFFF8D32-0C45-4E9A-800C-0E6611EAA965}"/>
  <tableColumns count="3">
    <tableColumn id="1" xr3:uid="{B0BFB178-7EE3-4C92-AC57-2FEBE5E82518}" name="Kategori" dataDxfId="52"/>
    <tableColumn id="2" xr3:uid="{AF000FD0-B41C-4ABE-AA46-5023D18F807F}" name="Procent af total" dataDxfId="51"/>
    <tableColumn id="3" xr3:uid="{4BF76C9D-DB8C-49E7-A8A7-9C9A393B12B3}" name="Udgift" dataDxfId="50">
      <calculatedColumnFormula>Engangsudgifter[[#This Row],[Procent af total]]*Enhedspris_Klimafacade_Total</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drawing" Target="../drawings/drawing7.xml"/><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table" Target="../tables/table7.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4.bin"/><Relationship Id="rId6" Type="http://schemas.openxmlformats.org/officeDocument/2006/relationships/table" Target="../tables/table14.xml"/><Relationship Id="rId11" Type="http://schemas.openxmlformats.org/officeDocument/2006/relationships/table" Target="../tables/table19.xml"/><Relationship Id="rId5" Type="http://schemas.openxmlformats.org/officeDocument/2006/relationships/table" Target="../tables/table13.xml"/><Relationship Id="rId10" Type="http://schemas.openxmlformats.org/officeDocument/2006/relationships/table" Target="../tables/table18.xml"/><Relationship Id="rId4" Type="http://schemas.openxmlformats.org/officeDocument/2006/relationships/table" Target="../tables/table12.xml"/><Relationship Id="rId9" Type="http://schemas.openxmlformats.org/officeDocument/2006/relationships/table" Target="../tables/table1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bygningsreglementet.dk/Tekniske-bestemmelser/11/Krav/297_29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6" Type="http://schemas.openxmlformats.org/officeDocument/2006/relationships/hyperlink" Target="https://www.epddanmark.dk/media/hzjhj3s2/md-20005-en_rev1_tr%C3%A6dk.pdf" TargetMode="External"/><Relationship Id="rId21" Type="http://schemas.openxmlformats.org/officeDocument/2006/relationships/hyperlink" Target="https://mediacache.davidsen.as/v-638447893233430770/db/ce/c337-5e56-4f83-934c-aeb7d707e435/46101892362__24__LagerFil__2024-02-28__EPD%20Corotop%20Alpha%20version%202_13.12.2023_APPROVED.pdf" TargetMode="External"/><Relationship Id="rId34" Type="http://schemas.openxmlformats.org/officeDocument/2006/relationships/hyperlink" Target="https://vbn.aau.dk/ws/portalfiles/portal/645424598/Udvikling_af_dansk_generisk_LCA-data.pdf" TargetMode="External"/><Relationship Id="rId42" Type="http://schemas.openxmlformats.org/officeDocument/2006/relationships/hyperlink" Target="https://www.epddanmark.dk/media/i3cgftcp/md-20032-en-fr%C3%B8slev-tr%C3%A6.pdf" TargetMode="External"/><Relationship Id="rId47" Type="http://schemas.openxmlformats.org/officeDocument/2006/relationships/hyperlink" Target="https://www.steico.com/de/loesungen/produktvorteile/stegtraeger" TargetMode="External"/><Relationship Id="rId50" Type="http://schemas.openxmlformats.org/officeDocument/2006/relationships/hyperlink" Target="https://www.xl-byg.dk/shop/knauf-vindspaerre-9-x-900-x-2700-mm-5180031" TargetMode="External"/><Relationship Id="rId55" Type="http://schemas.openxmlformats.org/officeDocument/2006/relationships/hyperlink" Target="https://ibudata.lca-data.com/datasetdetail/process.xhtml?uuid=abe56877-906b-4e81-a0cd-2ab7ce9e6163&amp;version=00.07.000&amp;stock=PUBLIC&amp;lang=en" TargetMode="External"/><Relationship Id="rId63" Type="http://schemas.openxmlformats.org/officeDocument/2006/relationships/hyperlink" Target="https://www.bolius.dk/hoer-som-isolering-18614" TargetMode="External"/><Relationship Id="rId7" Type="http://schemas.openxmlformats.org/officeDocument/2006/relationships/hyperlink" Target="https://vbn.aau.dk/ws/portalfiles/portal/645424598/Udvikling_af_dansk_generisk_LCA-data.pdf" TargetMode="External"/><Relationship Id="rId2" Type="http://schemas.openxmlformats.org/officeDocument/2006/relationships/hyperlink" Target="https://vbn.aau.dk/ws/portalfiles/portal/645424598/Udvikling_af_dansk_generisk_LCA-data.pdf" TargetMode="External"/><Relationship Id="rId16" Type="http://schemas.openxmlformats.org/officeDocument/2006/relationships/hyperlink" Target="https://vbn.aau.dk/ws/portalfiles/portal/645424598/Udvikling_af_dansk_generisk_LCA-data.pdf" TargetMode="External"/><Relationship Id="rId29" Type="http://schemas.openxmlformats.org/officeDocument/2006/relationships/hyperlink" Target="https://www.knauf.dk/dokumentation/epd-er/" TargetMode="External"/><Relationship Id="rId11" Type="http://schemas.openxmlformats.org/officeDocument/2006/relationships/hyperlink" Target="https://vbn.aau.dk/ws/portalfiles/portal/645424598/Udvikling_af_dansk_generisk_LCA-data.pdf" TargetMode="External"/><Relationship Id="rId24" Type="http://schemas.openxmlformats.org/officeDocument/2006/relationships/hyperlink" Target="https://mediacache.davidsen.as/v-638447893233430770/db/ce/c337-5e56-4f83-934c-aeb7d707e435/46101892362__24__LagerFil__2024-02-28__EPD%20Corotop%20Alpha%20version%202_13.12.2023_APPROVED.pdf" TargetMode="External"/><Relationship Id="rId32" Type="http://schemas.openxmlformats.org/officeDocument/2006/relationships/hyperlink" Target="https://vbn.aau.dk/ws/portalfiles/portal/645424598/Udvikling_af_dansk_generisk_LCA-data.pdf" TargetMode="External"/><Relationship Id="rId37" Type="http://schemas.openxmlformats.org/officeDocument/2006/relationships/hyperlink" Target="https://vbn.aau.dk/ws/portalfiles/portal/645424598/Udvikling_af_dansk_generisk_LCA-data.pdf" TargetMode="External"/><Relationship Id="rId40" Type="http://schemas.openxmlformats.org/officeDocument/2006/relationships/hyperlink" Target="https://vbn.aau.dk/ws/portalfiles/portal/645424598/Udvikling_af_dansk_generisk_LCA-data.pdf" TargetMode="External"/><Relationship Id="rId45" Type="http://schemas.openxmlformats.org/officeDocument/2006/relationships/hyperlink" Target="https://www.jemogfix.dk/staallaegte-c-profil-45-mm/4132/9032214/?utm_content=nonbrand&amp;gad_source=1&amp;gclid=Cj0KCQjwwMqvBhCtARIsAIXsZpYxd1Qe3KJIwV2Io9Hq8ehkT7DEROlHOlw5Ivdy7vh07f5DCHTHEHwaAgaTEALw_wcB&amp;gclsrc=aw.ds" TargetMode="External"/><Relationship Id="rId53" Type="http://schemas.openxmlformats.org/officeDocument/2006/relationships/hyperlink" Target="https://www.npi.dk/nordisk-pladeimport/wp-content/uploads/2016/08/Konstruktionskrydsfiner_Montagevejledning_2016.pdf" TargetMode="External"/><Relationship Id="rId58" Type="http://schemas.openxmlformats.org/officeDocument/2006/relationships/hyperlink" Target="https://froeslev.dk/media/rond1vte/3935-932-profil.pdf" TargetMode="External"/><Relationship Id="rId66" Type="http://schemas.openxmlformats.org/officeDocument/2006/relationships/table" Target="../tables/table2.xml"/><Relationship Id="rId5" Type="http://schemas.openxmlformats.org/officeDocument/2006/relationships/hyperlink" Target="https://vbn.aau.dk/ws/portalfiles/portal/645424598/Udvikling_af_dansk_generisk_LCA-data.pdf" TargetMode="External"/><Relationship Id="rId61" Type="http://schemas.openxmlformats.org/officeDocument/2006/relationships/hyperlink" Target="https://api.environdec.com/api/v1/EPDLibrary/Files/e3fbe4ab-0dda-45ec-8d04-08dc0c71a3ba/Data" TargetMode="External"/><Relationship Id="rId19" Type="http://schemas.openxmlformats.org/officeDocument/2006/relationships/hyperlink" Target="https://vbn.aau.dk/ws/portalfiles/portal/645424598/Udvikling_af_dansk_generisk_LCA-data.pdf" TargetMode="External"/><Relationship Id="rId14" Type="http://schemas.openxmlformats.org/officeDocument/2006/relationships/hyperlink" Target="https://vbn.aau.dk/ws/portalfiles/portal/645424598/Udvikling_af_dansk_generisk_LCA-data.pdf" TargetMode="External"/><Relationship Id="rId22" Type="http://schemas.openxmlformats.org/officeDocument/2006/relationships/hyperlink" Target="https://www.epddanmark.dk/media/hzjhj3s2/md-20005-en_rev1_tr%C3%A6dk.pdf" TargetMode="External"/><Relationship Id="rId27" Type="http://schemas.openxmlformats.org/officeDocument/2006/relationships/hyperlink" Target="https://vbn.aau.dk/ws/portalfiles/portal/645424598/Udvikling_af_dansk_generisk_LCA-data.pdf" TargetMode="External"/><Relationship Id="rId30" Type="http://schemas.openxmlformats.org/officeDocument/2006/relationships/hyperlink" Target="https://oekobaudat.de/OEKOBAU.DAT/datasetdetail/process.xhtml?uuid=539f5cd0-4e0a-4aae-87eb-e018dbebea4d&amp;version=20.23.050&amp;stock=OBD_2023_I&amp;lang=de" TargetMode="External"/><Relationship Id="rId35" Type="http://schemas.openxmlformats.org/officeDocument/2006/relationships/hyperlink" Target="https://vbn.aau.dk/ws/portalfiles/portal/645424598/Udvikling_af_dansk_generisk_LCA-data.pdf" TargetMode="External"/><Relationship Id="rId43" Type="http://schemas.openxmlformats.org/officeDocument/2006/relationships/hyperlink" Target="https://www.epddanmark.dk/epd-databasen/?free=maling&amp;category=0&amp;lang=0&amp;type=0&amp;validDate=0" TargetMode="External"/><Relationship Id="rId48" Type="http://schemas.openxmlformats.org/officeDocument/2006/relationships/hyperlink" Target="https://www.rockwool.com/dk/produkter-og-konstruktioner/produktoversigt/udvendig-facadeisolering/redair-multi-mr-montageskinne/" TargetMode="External"/><Relationship Id="rId56" Type="http://schemas.openxmlformats.org/officeDocument/2006/relationships/hyperlink" Target="https://karlmolin.com/shop/42-trapez/378-trapez-mvp-20100/" TargetMode="External"/><Relationship Id="rId64" Type="http://schemas.openxmlformats.org/officeDocument/2006/relationships/hyperlink" Target="https://www.bolius.dk/traefiberisolering-98134" TargetMode="External"/><Relationship Id="rId8" Type="http://schemas.openxmlformats.org/officeDocument/2006/relationships/hyperlink" Target="https://vbn.aau.dk/ws/portalfiles/portal/645424598/Udvikling_af_dansk_generisk_LCA-data.pdf" TargetMode="External"/><Relationship Id="rId51" Type="http://schemas.openxmlformats.org/officeDocument/2006/relationships/hyperlink" Target="https://www.stark.dk/cembrit-windstopper-basic-fibercementplade-9-mm-600-mm-2400-mm-natur?id=8200-1851195" TargetMode="External"/><Relationship Id="rId3" Type="http://schemas.openxmlformats.org/officeDocument/2006/relationships/hyperlink" Target="https://vbn.aau.dk/ws/portalfiles/portal/645424598/Udvikling_af_dansk_generisk_LCA-data.pdf" TargetMode="External"/><Relationship Id="rId12" Type="http://schemas.openxmlformats.org/officeDocument/2006/relationships/hyperlink" Target="https://vbn.aau.dk/ws/portalfiles/portal/645424598/Udvikling_af_dansk_generisk_LCA-data.pdf" TargetMode="External"/><Relationship Id="rId17" Type="http://schemas.openxmlformats.org/officeDocument/2006/relationships/hyperlink" Target="https://www.knauf.dk/dokumentation/epd-er/" TargetMode="External"/><Relationship Id="rId25" Type="http://schemas.openxmlformats.org/officeDocument/2006/relationships/hyperlink" Target="https://www.epddanmark.dk/media/hzjhj3s2/md-20005-en_rev1_tr%C3%A6dk.pdf" TargetMode="External"/><Relationship Id="rId33" Type="http://schemas.openxmlformats.org/officeDocument/2006/relationships/hyperlink" Target="https://vbn.aau.dk/ws/portalfiles/portal/645424598/Udvikling_af_dansk_generisk_LCA-data.pdf" TargetMode="External"/><Relationship Id="rId38" Type="http://schemas.openxmlformats.org/officeDocument/2006/relationships/hyperlink" Target="https://vbn.aau.dk/ws/portalfiles/portal/645424598/Udvikling_af_dansk_generisk_LCA-data.pdf" TargetMode="External"/><Relationship Id="rId46" Type="http://schemas.openxmlformats.org/officeDocument/2006/relationships/hyperlink" Target="https://www.knauf.dk/produkter/lette-byggesystemer/stalprofiler/ydervaegsprofiler/standardprofiler/ry-slidsede-stolper/" TargetMode="External"/><Relationship Id="rId59" Type="http://schemas.openxmlformats.org/officeDocument/2006/relationships/hyperlink" Target="https://inpro.dk/shop/46-tag-og-facade/141-spansk-rustik-skifer/" TargetMode="External"/><Relationship Id="rId67" Type="http://schemas.openxmlformats.org/officeDocument/2006/relationships/comments" Target="../comments2.xml"/><Relationship Id="rId20" Type="http://schemas.openxmlformats.org/officeDocument/2006/relationships/hyperlink" Target="https://www.egger.com/get_download/0b9a6cee-8a7b-47c6-a1e8-a1eb855cce32/Environmental_product_declaration_OSB.pdf" TargetMode="External"/><Relationship Id="rId41" Type="http://schemas.openxmlformats.org/officeDocument/2006/relationships/hyperlink" Target="https://api.environdec.com/api/v1/EPDLibrary/Files/e3fbe4ab-0dda-45ec-8d04-08dc0c71a3ba/Data" TargetMode="External"/><Relationship Id="rId54" Type="http://schemas.openxmlformats.org/officeDocument/2006/relationships/hyperlink" Target="https://hunton.dk/produkter/vegg/hunton-vindtaet/" TargetMode="External"/><Relationship Id="rId62" Type="http://schemas.openxmlformats.org/officeDocument/2006/relationships/hyperlink" Target="https://api.environdec.com/api/v1/EPDLibrary/Files/e3fbe4ab-0dda-45ec-8d04-08dc0c71a3ba/Data" TargetMode="External"/><Relationship Id="rId1" Type="http://schemas.openxmlformats.org/officeDocument/2006/relationships/hyperlink" Target="https://ibudata.lca-data.com/datasetdetail/process.xhtml?uuid=abe56877-906b-4e81-a0cd-2ab7ce9e6163&amp;version=00.07.000&amp;stock=PUBLIC&amp;lang=en" TargetMode="External"/><Relationship Id="rId6" Type="http://schemas.openxmlformats.org/officeDocument/2006/relationships/hyperlink" Target="https://oekobaudat.de/OEKOBAU.DAT/datasetdetail/process.xhtml?uuid=8847396e-ce82-433d-9f65-8bc144a2a7a4&amp;version=20.23.050&amp;stock=OBD_2023_I&amp;lang=de" TargetMode="External"/><Relationship Id="rId15" Type="http://schemas.openxmlformats.org/officeDocument/2006/relationships/hyperlink" Target="https://www.knauf.dk/dokumentation/epd-er/" TargetMode="External"/><Relationship Id="rId23" Type="http://schemas.openxmlformats.org/officeDocument/2006/relationships/hyperlink" Target="https://www.epddanmark.dk/media/hzjhj3s2/md-20005-en_rev1_tr%C3%A6dk.pdf" TargetMode="External"/><Relationship Id="rId28" Type="http://schemas.openxmlformats.org/officeDocument/2006/relationships/hyperlink" Target="https://www.knauf.dk/dokumentation/epd-er/" TargetMode="External"/><Relationship Id="rId36" Type="http://schemas.openxmlformats.org/officeDocument/2006/relationships/hyperlink" Target="https://vbn.aau.dk/ws/portalfiles/portal/645424598/Udvikling_af_dansk_generisk_LCA-data.pdf" TargetMode="External"/><Relationship Id="rId49" Type="http://schemas.openxmlformats.org/officeDocument/2006/relationships/hyperlink" Target="https://www.wennerthwood.dk/wwt/produkter/pladevarer/cementspanplade" TargetMode="External"/><Relationship Id="rId57" Type="http://schemas.openxmlformats.org/officeDocument/2006/relationships/hyperlink" Target="https://vbn.aau.dk/ws/portalfiles/portal/645424598/Udvikling_af_dansk_generisk_LCA-data.pdf" TargetMode="External"/><Relationship Id="rId10" Type="http://schemas.openxmlformats.org/officeDocument/2006/relationships/hyperlink" Target="https://vbn.aau.dk/ws/portalfiles/portal/645424598/Udvikling_af_dansk_generisk_LCA-data.pdf" TargetMode="External"/><Relationship Id="rId31" Type="http://schemas.openxmlformats.org/officeDocument/2006/relationships/hyperlink" Target="https://vbn.aau.dk/ws/portalfiles/portal/645424598/Udvikling_af_dansk_generisk_LCA-data.pdf" TargetMode="External"/><Relationship Id="rId44" Type="http://schemas.openxmlformats.org/officeDocument/2006/relationships/hyperlink" Target="https://www.profilmetal.dk/produkt/hatteprofil-50-25-70-25-50x2500-mm/?attribute_pa_farve=aluzink&amp;attribute_pa_garanti=20-aars-garanti&amp;utm_source=Google+Shopping&amp;utm_medium=cpc&amp;utm_campaign=Google+Shopping&amp;gad_source=1&amp;gclid=Cj0KCQjwncWvBhD_ARIsAEb2HW_-vKxw4FvSRa-vlouc3Bs_mGhQU9RG_UINOzHt9d7tm_hLBo36VvQaAmKvEALw_wcB" TargetMode="External"/><Relationship Id="rId52" Type="http://schemas.openxmlformats.org/officeDocument/2006/relationships/hyperlink" Target="https://betapack.dk/files/byg/Datablade/Maj%202023%20Datablade/alpha%20vindsp%C3%A6rre%20pro%20datablad%20maj%202023.pdf" TargetMode="External"/><Relationship Id="rId60" Type="http://schemas.openxmlformats.org/officeDocument/2006/relationships/hyperlink" Target="https://komproment.dk/produkt/tempel-earth/dark-grey/" TargetMode="External"/><Relationship Id="rId65" Type="http://schemas.openxmlformats.org/officeDocument/2006/relationships/vmlDrawing" Target="../drawings/vmlDrawing2.vml"/><Relationship Id="rId4" Type="http://schemas.openxmlformats.org/officeDocument/2006/relationships/hyperlink" Target="https://www.epddanmark.dk/epd-databasen/komproment/colosseum-nordic-og-pantheon-nordic-facadetegl/?alttemplate=EPDpopup&amp;lang=da-dk" TargetMode="External"/><Relationship Id="rId9" Type="http://schemas.openxmlformats.org/officeDocument/2006/relationships/hyperlink" Target="https://vbn.aau.dk/ws/portalfiles/portal/645424598/Udvikling_af_dansk_generisk_LCA-data.pdf" TargetMode="External"/><Relationship Id="rId13" Type="http://schemas.openxmlformats.org/officeDocument/2006/relationships/hyperlink" Target="https://vbn.aau.dk/ws/portalfiles/portal/645424598/Udvikling_af_dansk_generisk_LCA-data.pdf" TargetMode="External"/><Relationship Id="rId18" Type="http://schemas.openxmlformats.org/officeDocument/2006/relationships/hyperlink" Target="https://vbn.aau.dk/ws/portalfiles/portal/645424598/Udvikling_af_dansk_generisk_LCA-data.pdf" TargetMode="External"/><Relationship Id="rId39" Type="http://schemas.openxmlformats.org/officeDocument/2006/relationships/hyperlink" Target="https://vbn.aau.dk/ws/portalfiles/portal/645424598/Udvikling_af_dansk_generisk_LCA-data.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hyperlink" Target="https://vbn.aau.dk/ws/portalfiles/portal/611626468/BUILD-rapport_2023_14_Ressourceforbrug_p_byggepladsen.pdf" TargetMode="External"/><Relationship Id="rId5" Type="http://schemas.openxmlformats.org/officeDocument/2006/relationships/comments" Target="../comments3.xml"/><Relationship Id="rId4" Type="http://schemas.openxmlformats.org/officeDocument/2006/relationships/table" Target="../tables/table3.xml"/></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D93C-9C79-48B0-8554-1EA85B1EF0AF}">
  <sheetPr codeName="Sheet1">
    <tabColor theme="0"/>
  </sheetPr>
  <dimension ref="B1:H48"/>
  <sheetViews>
    <sheetView workbookViewId="0"/>
  </sheetViews>
  <sheetFormatPr defaultColWidth="0" defaultRowHeight="15" zeroHeight="1"/>
  <cols>
    <col min="1" max="1" width="7" style="19" customWidth="1"/>
    <col min="2" max="2" width="31" style="19" customWidth="1"/>
    <col min="3" max="3" width="40" style="19" customWidth="1"/>
    <col min="4" max="4" width="7" style="19" customWidth="1"/>
    <col min="5" max="16384" width="0" style="19" hidden="1"/>
  </cols>
  <sheetData>
    <row r="1" spans="2:8"/>
    <row r="2" spans="2:8"/>
    <row r="3" spans="2:8" ht="33.75">
      <c r="B3" s="5" t="s">
        <v>0</v>
      </c>
    </row>
    <row r="4" spans="2:8"/>
    <row r="5" spans="2:8" ht="26.25">
      <c r="B5" s="4" t="s">
        <v>1</v>
      </c>
    </row>
    <row r="6" spans="2:8"/>
    <row r="7" spans="2:8"/>
    <row r="8" spans="2:8">
      <c r="C8" s="6"/>
    </row>
    <row r="9" spans="2:8">
      <c r="C9" s="6"/>
    </row>
    <row r="10" spans="2:8">
      <c r="C10" s="6"/>
    </row>
    <row r="11" spans="2:8">
      <c r="C11" s="6"/>
    </row>
    <row r="12" spans="2:8">
      <c r="C12" s="6"/>
    </row>
    <row r="13" spans="2:8">
      <c r="C13" s="6"/>
    </row>
    <row r="14" spans="2:8">
      <c r="C14" s="6"/>
      <c r="H14" s="49"/>
    </row>
    <row r="15" spans="2:8"/>
    <row r="16" spans="2:8"/>
    <row r="17" spans="2:3"/>
    <row r="18" spans="2:3" ht="15.75">
      <c r="B18" s="317" t="s">
        <v>2</v>
      </c>
      <c r="C18" s="318">
        <v>45443</v>
      </c>
    </row>
    <row r="19" spans="2:3" ht="15.75">
      <c r="B19" s="317" t="s">
        <v>3</v>
      </c>
      <c r="C19" s="319" t="s">
        <v>563</v>
      </c>
    </row>
    <row r="20" spans="2:3" ht="15.75">
      <c r="B20" s="317" t="s">
        <v>4</v>
      </c>
      <c r="C20" s="319" t="s">
        <v>5</v>
      </c>
    </row>
    <row r="21" spans="2:3" ht="15.75">
      <c r="B21" s="317" t="s">
        <v>6</v>
      </c>
      <c r="C21" s="319" t="s">
        <v>7</v>
      </c>
    </row>
    <row r="22" spans="2:3"/>
    <row r="23" spans="2:3"/>
    <row r="24" spans="2:3"/>
    <row r="25" spans="2:3"/>
    <row r="26" spans="2:3"/>
    <row r="27" spans="2:3"/>
    <row r="28" spans="2:3"/>
    <row r="29" spans="2:3"/>
    <row r="30" spans="2:3"/>
    <row r="31" spans="2:3"/>
    <row r="32" spans="2:3"/>
    <row r="33"/>
    <row r="34"/>
    <row r="35"/>
    <row r="36"/>
    <row r="37"/>
    <row r="38"/>
    <row r="39"/>
    <row r="40"/>
    <row r="41"/>
    <row r="42"/>
    <row r="43"/>
    <row r="44"/>
    <row r="45"/>
    <row r="46"/>
    <row r="47"/>
    <row r="48"/>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4C209-87C6-44CD-9DB6-B87FE174A1A0}">
  <sheetPr codeName="Sheet9">
    <tabColor theme="0" tint="-0.249977111117893"/>
  </sheetPr>
  <dimension ref="A1:CN27"/>
  <sheetViews>
    <sheetView zoomScaleNormal="100" workbookViewId="0"/>
  </sheetViews>
  <sheetFormatPr defaultColWidth="0" defaultRowHeight="15" zeroHeight="1"/>
  <cols>
    <col min="1" max="1" width="49.85546875" bestFit="1" customWidth="1"/>
    <col min="2" max="2" width="6.85546875" bestFit="1" customWidth="1"/>
    <col min="3" max="3" width="20.42578125" bestFit="1" customWidth="1"/>
    <col min="4" max="4" width="14.140625" bestFit="1" customWidth="1"/>
    <col min="5" max="5" width="16.42578125" bestFit="1" customWidth="1"/>
    <col min="6" max="6" width="16.140625" bestFit="1" customWidth="1"/>
    <col min="7" max="7" width="11.140625" bestFit="1" customWidth="1"/>
    <col min="8" max="8" width="20.85546875" bestFit="1" customWidth="1"/>
    <col min="9" max="9" width="15.85546875" bestFit="1" customWidth="1"/>
    <col min="10" max="10" width="4.85546875" style="50" customWidth="1"/>
    <col min="11" max="11" width="5.140625" bestFit="1" customWidth="1"/>
    <col min="12" max="40" width="6" bestFit="1" customWidth="1"/>
    <col min="41" max="91" width="7.140625" bestFit="1" customWidth="1"/>
    <col min="92" max="92" width="8.85546875" customWidth="1"/>
    <col min="93" max="16384" width="8.85546875" hidden="1"/>
  </cols>
  <sheetData>
    <row r="1" spans="1:92" s="2" customFormat="1" ht="19.5" thickBot="1">
      <c r="A1" s="2" t="s">
        <v>94</v>
      </c>
    </row>
    <row r="2" spans="1:92" ht="15.75" thickTop="1">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row>
    <row r="3" spans="1:92" s="3" customFormat="1" ht="15.75">
      <c r="A3" s="3" t="s">
        <v>123</v>
      </c>
    </row>
    <row r="4" spans="1:92">
      <c r="A4" s="19"/>
      <c r="B4" s="19"/>
      <c r="C4" s="19"/>
      <c r="D4" s="19"/>
      <c r="E4" s="19"/>
      <c r="F4" s="19"/>
      <c r="G4" s="19"/>
      <c r="H4" s="19"/>
      <c r="I4" s="19"/>
      <c r="J4" s="7"/>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row>
    <row r="5" spans="1:92" ht="14.45" customHeight="1">
      <c r="A5" s="565" t="s">
        <v>366</v>
      </c>
      <c r="B5" s="565" t="s">
        <v>368</v>
      </c>
      <c r="C5" s="565" t="s">
        <v>360</v>
      </c>
      <c r="D5" s="565" t="s">
        <v>357</v>
      </c>
      <c r="E5" s="565" t="s">
        <v>362</v>
      </c>
      <c r="F5" s="567" t="s">
        <v>358</v>
      </c>
      <c r="G5" s="568"/>
      <c r="H5" s="562" t="s">
        <v>359</v>
      </c>
      <c r="I5" s="563"/>
      <c r="J5" s="158">
        <v>0</v>
      </c>
      <c r="K5" s="551" t="s">
        <v>355</v>
      </c>
      <c r="L5" s="551"/>
      <c r="M5" s="551"/>
      <c r="N5" s="551"/>
      <c r="O5" s="551"/>
      <c r="P5" s="551"/>
      <c r="Q5" s="551"/>
      <c r="R5" s="551"/>
      <c r="S5" s="551"/>
      <c r="T5" s="551"/>
      <c r="U5" s="552"/>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row>
    <row r="6" spans="1:92">
      <c r="A6" s="566"/>
      <c r="B6" s="566"/>
      <c r="C6" s="566"/>
      <c r="D6" s="566"/>
      <c r="E6" s="566"/>
      <c r="F6" s="569"/>
      <c r="G6" s="570"/>
      <c r="H6" s="564"/>
      <c r="I6" s="563"/>
      <c r="J6" s="164">
        <v>0</v>
      </c>
      <c r="K6" s="136">
        <v>0</v>
      </c>
      <c r="L6" s="118">
        <v>1</v>
      </c>
      <c r="M6" s="118">
        <v>2</v>
      </c>
      <c r="N6" s="118">
        <v>3</v>
      </c>
      <c r="O6" s="118">
        <v>4</v>
      </c>
      <c r="P6" s="118">
        <v>5</v>
      </c>
      <c r="Q6" s="118">
        <v>6</v>
      </c>
      <c r="R6" s="118">
        <v>7</v>
      </c>
      <c r="S6" s="118">
        <v>8</v>
      </c>
      <c r="T6" s="118">
        <v>9</v>
      </c>
      <c r="U6" s="118">
        <v>10</v>
      </c>
      <c r="V6" s="118">
        <v>11</v>
      </c>
      <c r="W6" s="118">
        <v>12</v>
      </c>
      <c r="X6" s="118">
        <v>13</v>
      </c>
      <c r="Y6" s="118">
        <v>14</v>
      </c>
      <c r="Z6" s="118">
        <v>15</v>
      </c>
      <c r="AA6" s="118">
        <v>16</v>
      </c>
      <c r="AB6" s="118">
        <v>17</v>
      </c>
      <c r="AC6" s="118">
        <v>18</v>
      </c>
      <c r="AD6" s="118">
        <v>19</v>
      </c>
      <c r="AE6" s="119">
        <v>20</v>
      </c>
      <c r="AF6" s="118">
        <v>21</v>
      </c>
      <c r="AG6" s="118">
        <v>22</v>
      </c>
      <c r="AH6" s="118">
        <v>23</v>
      </c>
      <c r="AI6" s="118">
        <v>24</v>
      </c>
      <c r="AJ6" s="118">
        <v>25</v>
      </c>
      <c r="AK6" s="118">
        <v>26</v>
      </c>
      <c r="AL6" s="118">
        <v>27</v>
      </c>
      <c r="AM6" s="118">
        <v>28</v>
      </c>
      <c r="AN6" s="118">
        <v>29</v>
      </c>
      <c r="AO6" s="119">
        <v>30</v>
      </c>
      <c r="AP6" s="118">
        <v>31</v>
      </c>
      <c r="AQ6" s="118">
        <v>32</v>
      </c>
      <c r="AR6" s="118">
        <v>33</v>
      </c>
      <c r="AS6" s="118">
        <v>34</v>
      </c>
      <c r="AT6" s="118">
        <v>35</v>
      </c>
      <c r="AU6" s="118">
        <v>36</v>
      </c>
      <c r="AV6" s="118">
        <v>37</v>
      </c>
      <c r="AW6" s="118">
        <v>38</v>
      </c>
      <c r="AX6" s="118">
        <v>39</v>
      </c>
      <c r="AY6" s="118">
        <v>40</v>
      </c>
      <c r="AZ6" s="118">
        <v>41</v>
      </c>
      <c r="BA6" s="118">
        <v>42</v>
      </c>
      <c r="BB6" s="118">
        <v>43</v>
      </c>
      <c r="BC6" s="118">
        <v>44</v>
      </c>
      <c r="BD6" s="118">
        <v>45</v>
      </c>
      <c r="BE6" s="118">
        <v>46</v>
      </c>
      <c r="BF6" s="118">
        <v>47</v>
      </c>
      <c r="BG6" s="118">
        <v>48</v>
      </c>
      <c r="BH6" s="118">
        <v>49</v>
      </c>
      <c r="BI6" s="119">
        <v>50</v>
      </c>
      <c r="BJ6" s="118">
        <v>51</v>
      </c>
      <c r="BK6" s="118">
        <v>52</v>
      </c>
      <c r="BL6" s="118">
        <v>53</v>
      </c>
      <c r="BM6" s="118">
        <v>54</v>
      </c>
      <c r="BN6" s="118">
        <v>55</v>
      </c>
      <c r="BO6" s="118">
        <v>56</v>
      </c>
      <c r="BP6" s="118">
        <v>57</v>
      </c>
      <c r="BQ6" s="118">
        <v>58</v>
      </c>
      <c r="BR6" s="118">
        <v>59</v>
      </c>
      <c r="BS6" s="118">
        <v>60</v>
      </c>
      <c r="BT6" s="118">
        <v>61</v>
      </c>
      <c r="BU6" s="118">
        <v>62</v>
      </c>
      <c r="BV6" s="118">
        <v>63</v>
      </c>
      <c r="BW6" s="118">
        <v>64</v>
      </c>
      <c r="BX6" s="118">
        <v>65</v>
      </c>
      <c r="BY6" s="118">
        <v>66</v>
      </c>
      <c r="BZ6" s="118">
        <v>67</v>
      </c>
      <c r="CA6" s="118">
        <v>68</v>
      </c>
      <c r="CB6" s="118">
        <v>69</v>
      </c>
      <c r="CC6" s="118">
        <v>70</v>
      </c>
      <c r="CD6" s="118">
        <v>71</v>
      </c>
      <c r="CE6" s="118">
        <v>72</v>
      </c>
      <c r="CF6" s="118">
        <v>73</v>
      </c>
      <c r="CG6" s="118">
        <v>74</v>
      </c>
      <c r="CH6" s="118">
        <v>75</v>
      </c>
      <c r="CI6" s="118">
        <v>76</v>
      </c>
      <c r="CJ6" s="118">
        <v>77</v>
      </c>
      <c r="CK6" s="118">
        <v>78</v>
      </c>
      <c r="CL6" s="118">
        <v>79</v>
      </c>
      <c r="CM6" s="119">
        <v>80</v>
      </c>
      <c r="CN6" s="19"/>
    </row>
    <row r="7" spans="1:92">
      <c r="A7" s="50" t="s">
        <v>348</v>
      </c>
      <c r="B7" s="50" t="s">
        <v>367</v>
      </c>
      <c r="C7" s="50" t="s">
        <v>361</v>
      </c>
      <c r="D7" t="s">
        <v>248</v>
      </c>
      <c r="E7" t="s">
        <v>363</v>
      </c>
      <c r="F7" s="165" t="s">
        <v>365</v>
      </c>
      <c r="G7" t="s">
        <v>364</v>
      </c>
      <c r="H7" t="s">
        <v>369</v>
      </c>
      <c r="I7" t="s">
        <v>370</v>
      </c>
      <c r="J7" s="159">
        <v>0</v>
      </c>
      <c r="K7" s="341">
        <f t="shared" ref="K7:AP7" si="0">Input_Etableringsår+K6</f>
        <v>2024</v>
      </c>
      <c r="L7" s="203">
        <f t="shared" si="0"/>
        <v>2025</v>
      </c>
      <c r="M7" s="203">
        <f t="shared" si="0"/>
        <v>2026</v>
      </c>
      <c r="N7" s="203">
        <f t="shared" si="0"/>
        <v>2027</v>
      </c>
      <c r="O7" s="203">
        <f t="shared" si="0"/>
        <v>2028</v>
      </c>
      <c r="P7" s="203">
        <f t="shared" si="0"/>
        <v>2029</v>
      </c>
      <c r="Q7" s="203">
        <f t="shared" si="0"/>
        <v>2030</v>
      </c>
      <c r="R7" s="203">
        <f t="shared" si="0"/>
        <v>2031</v>
      </c>
      <c r="S7" s="203">
        <f t="shared" si="0"/>
        <v>2032</v>
      </c>
      <c r="T7" s="203">
        <f t="shared" si="0"/>
        <v>2033</v>
      </c>
      <c r="U7" s="203">
        <f t="shared" si="0"/>
        <v>2034</v>
      </c>
      <c r="V7" s="203">
        <f t="shared" si="0"/>
        <v>2035</v>
      </c>
      <c r="W7" s="203">
        <f t="shared" si="0"/>
        <v>2036</v>
      </c>
      <c r="X7" s="203">
        <f t="shared" si="0"/>
        <v>2037</v>
      </c>
      <c r="Y7" s="203">
        <f t="shared" si="0"/>
        <v>2038</v>
      </c>
      <c r="Z7" s="203">
        <f t="shared" si="0"/>
        <v>2039</v>
      </c>
      <c r="AA7" s="203">
        <f t="shared" si="0"/>
        <v>2040</v>
      </c>
      <c r="AB7" s="203">
        <f t="shared" si="0"/>
        <v>2041</v>
      </c>
      <c r="AC7" s="203">
        <f t="shared" si="0"/>
        <v>2042</v>
      </c>
      <c r="AD7" s="203">
        <f t="shared" si="0"/>
        <v>2043</v>
      </c>
      <c r="AE7" s="342">
        <f t="shared" si="0"/>
        <v>2044</v>
      </c>
      <c r="AF7" s="203">
        <f t="shared" si="0"/>
        <v>2045</v>
      </c>
      <c r="AG7" s="203">
        <f t="shared" si="0"/>
        <v>2046</v>
      </c>
      <c r="AH7" s="203">
        <f t="shared" si="0"/>
        <v>2047</v>
      </c>
      <c r="AI7" s="203">
        <f t="shared" si="0"/>
        <v>2048</v>
      </c>
      <c r="AJ7" s="203">
        <f t="shared" si="0"/>
        <v>2049</v>
      </c>
      <c r="AK7" s="203">
        <f t="shared" si="0"/>
        <v>2050</v>
      </c>
      <c r="AL7" s="203">
        <f t="shared" si="0"/>
        <v>2051</v>
      </c>
      <c r="AM7" s="203">
        <f t="shared" si="0"/>
        <v>2052</v>
      </c>
      <c r="AN7" s="203">
        <f t="shared" si="0"/>
        <v>2053</v>
      </c>
      <c r="AO7" s="342">
        <f t="shared" si="0"/>
        <v>2054</v>
      </c>
      <c r="AP7" s="203">
        <f t="shared" si="0"/>
        <v>2055</v>
      </c>
      <c r="AQ7" s="203">
        <f t="shared" ref="AQ7:BV7" si="1">Input_Etableringsår+AQ6</f>
        <v>2056</v>
      </c>
      <c r="AR7" s="203">
        <f t="shared" si="1"/>
        <v>2057</v>
      </c>
      <c r="AS7" s="203">
        <f t="shared" si="1"/>
        <v>2058</v>
      </c>
      <c r="AT7" s="203">
        <f t="shared" si="1"/>
        <v>2059</v>
      </c>
      <c r="AU7" s="203">
        <f t="shared" si="1"/>
        <v>2060</v>
      </c>
      <c r="AV7" s="203">
        <f t="shared" si="1"/>
        <v>2061</v>
      </c>
      <c r="AW7" s="203">
        <f t="shared" si="1"/>
        <v>2062</v>
      </c>
      <c r="AX7" s="203">
        <f t="shared" si="1"/>
        <v>2063</v>
      </c>
      <c r="AY7" s="203">
        <f t="shared" si="1"/>
        <v>2064</v>
      </c>
      <c r="AZ7" s="203">
        <f t="shared" si="1"/>
        <v>2065</v>
      </c>
      <c r="BA7" s="203">
        <f t="shared" si="1"/>
        <v>2066</v>
      </c>
      <c r="BB7" s="203">
        <f t="shared" si="1"/>
        <v>2067</v>
      </c>
      <c r="BC7" s="203">
        <f t="shared" si="1"/>
        <v>2068</v>
      </c>
      <c r="BD7" s="203">
        <f t="shared" si="1"/>
        <v>2069</v>
      </c>
      <c r="BE7" s="203">
        <f t="shared" si="1"/>
        <v>2070</v>
      </c>
      <c r="BF7" s="203">
        <f t="shared" si="1"/>
        <v>2071</v>
      </c>
      <c r="BG7" s="203">
        <f t="shared" si="1"/>
        <v>2072</v>
      </c>
      <c r="BH7" s="203">
        <f t="shared" si="1"/>
        <v>2073</v>
      </c>
      <c r="BI7" s="342">
        <f t="shared" si="1"/>
        <v>2074</v>
      </c>
      <c r="BJ7" s="203">
        <f t="shared" si="1"/>
        <v>2075</v>
      </c>
      <c r="BK7" s="203">
        <f t="shared" si="1"/>
        <v>2076</v>
      </c>
      <c r="BL7" s="203">
        <f t="shared" si="1"/>
        <v>2077</v>
      </c>
      <c r="BM7" s="203">
        <f t="shared" si="1"/>
        <v>2078</v>
      </c>
      <c r="BN7" s="203">
        <f t="shared" si="1"/>
        <v>2079</v>
      </c>
      <c r="BO7" s="203">
        <f t="shared" si="1"/>
        <v>2080</v>
      </c>
      <c r="BP7" s="203">
        <f t="shared" si="1"/>
        <v>2081</v>
      </c>
      <c r="BQ7" s="203">
        <f t="shared" si="1"/>
        <v>2082</v>
      </c>
      <c r="BR7" s="203">
        <f t="shared" si="1"/>
        <v>2083</v>
      </c>
      <c r="BS7" s="203">
        <f t="shared" si="1"/>
        <v>2084</v>
      </c>
      <c r="BT7" s="203">
        <f t="shared" si="1"/>
        <v>2085</v>
      </c>
      <c r="BU7" s="203">
        <f t="shared" si="1"/>
        <v>2086</v>
      </c>
      <c r="BV7" s="203">
        <f t="shared" si="1"/>
        <v>2087</v>
      </c>
      <c r="BW7" s="203">
        <f t="shared" ref="BW7:CL7" si="2">Input_Etableringsår+BW6</f>
        <v>2088</v>
      </c>
      <c r="BX7" s="203">
        <f t="shared" si="2"/>
        <v>2089</v>
      </c>
      <c r="BY7" s="203">
        <f t="shared" si="2"/>
        <v>2090</v>
      </c>
      <c r="BZ7" s="203">
        <f t="shared" si="2"/>
        <v>2091</v>
      </c>
      <c r="CA7" s="203">
        <f t="shared" si="2"/>
        <v>2092</v>
      </c>
      <c r="CB7" s="203">
        <f t="shared" si="2"/>
        <v>2093</v>
      </c>
      <c r="CC7" s="203">
        <f t="shared" si="2"/>
        <v>2094</v>
      </c>
      <c r="CD7" s="203">
        <f t="shared" si="2"/>
        <v>2095</v>
      </c>
      <c r="CE7" s="203">
        <f t="shared" si="2"/>
        <v>2096</v>
      </c>
      <c r="CF7" s="203">
        <f t="shared" si="2"/>
        <v>2097</v>
      </c>
      <c r="CG7" s="203">
        <f t="shared" si="2"/>
        <v>2098</v>
      </c>
      <c r="CH7" s="203">
        <f t="shared" si="2"/>
        <v>2099</v>
      </c>
      <c r="CI7" s="203">
        <f t="shared" si="2"/>
        <v>2100</v>
      </c>
      <c r="CJ7" s="203">
        <f t="shared" si="2"/>
        <v>2101</v>
      </c>
      <c r="CK7" s="203">
        <f t="shared" si="2"/>
        <v>2102</v>
      </c>
      <c r="CL7" s="203">
        <f t="shared" si="2"/>
        <v>2103</v>
      </c>
      <c r="CM7" s="342">
        <f>Input_Etableringsår+CM6</f>
        <v>2104</v>
      </c>
      <c r="CN7" s="19"/>
    </row>
    <row r="8" spans="1:92">
      <c r="A8" t="s">
        <v>534</v>
      </c>
      <c r="B8" s="139">
        <f>_xlfn.NUMBERVALUE(LEFT(Energiberegning[[#This Row],[Ydervæg]],2))</f>
        <v>24</v>
      </c>
      <c r="C8">
        <v>0</v>
      </c>
      <c r="D8">
        <v>200</v>
      </c>
      <c r="E8">
        <f>Energiberegning[[#This Row],[Nuværende isolering]]+Energiberegning[[#This Row],[Efterisolering]]</f>
        <v>200</v>
      </c>
      <c r="F8">
        <v>1.98</v>
      </c>
      <c r="G8">
        <v>0.16</v>
      </c>
      <c r="H8" s="120">
        <v>179640</v>
      </c>
      <c r="I8">
        <f>Energiberegning[[#This Row],[Besparelse_1000_m²]]/1000</f>
        <v>179.64</v>
      </c>
      <c r="J8" s="159">
        <v>0</v>
      </c>
      <c r="K8" s="152">
        <f>J8+Energiberegning[[#This Row],[Besparelse_m²]]*INDEX(Energiprognose[Fjernvarme],MATCH(Energiberegning!K$7,Energiprognose[År],0))</f>
        <v>8.3604455999999985</v>
      </c>
      <c r="L8" s="140">
        <f>K8+Energiberegning[[#This Row],[Besparelse_m²]]*INDEX(Energiprognose[Fjernvarme],MATCH(Energiberegning!L$7,Energiprognose[År],0))</f>
        <v>15.869397599999997</v>
      </c>
      <c r="M8" s="140">
        <f>L8+Energiberegning[[#This Row],[Besparelse_m²]]*INDEX(Energiprognose[Fjernvarme],MATCH(Energiberegning!M$7,Energiprognose[År],0))</f>
        <v>22.526855999999995</v>
      </c>
      <c r="N8" s="140">
        <f>M8+Energiberegning[[#This Row],[Besparelse_m²]]*INDEX(Energiprognose[Fjernvarme],MATCH(Energiberegning!N$7,Energiprognose[År],0))</f>
        <v>28.332820799999993</v>
      </c>
      <c r="O8" s="140">
        <f>N8+Energiberegning[[#This Row],[Besparelse_m²]]*INDEX(Energiprognose[Fjernvarme],MATCH(Energiberegning!O$7,Energiprognose[År],0))</f>
        <v>33.287291999999994</v>
      </c>
      <c r="P8" s="140">
        <f>O8+Energiberegning[[#This Row],[Besparelse_m²]]*INDEX(Energiprognose[Fjernvarme],MATCH(Energiberegning!P$7,Energiprognose[År],0))</f>
        <v>37.390269599999989</v>
      </c>
      <c r="Q8" s="140">
        <f>P8+Energiberegning[[#This Row],[Besparelse_m²]]*INDEX(Energiprognose[Fjernvarme],MATCH(Energiberegning!Q$7,Energiprognose[År],0))</f>
        <v>40.641753599999987</v>
      </c>
      <c r="R8" s="140">
        <f>Q8+Energiberegning[[#This Row],[Besparelse_m²]]*INDEX(Energiprognose[Fjernvarme],MATCH(Energiberegning!R$7,Energiprognose[År],0))</f>
        <v>43.745932799999984</v>
      </c>
      <c r="S8" s="140">
        <f>R8+Energiberegning[[#This Row],[Besparelse_m²]]*INDEX(Energiprognose[Fjernvarme],MATCH(Energiberegning!S$7,Energiprognose[År],0))</f>
        <v>46.702807199999981</v>
      </c>
      <c r="T8" s="140">
        <f>S8+Energiberegning[[#This Row],[Besparelse_m²]]*INDEX(Energiprognose[Fjernvarme],MATCH(Energiberegning!T$7,Energiprognose[År],0))</f>
        <v>49.512376799999977</v>
      </c>
      <c r="U8" s="140">
        <f>T8+Energiberegning[[#This Row],[Besparelse_m²]]*INDEX(Energiprognose[Fjernvarme],MATCH(Energiberegning!U$7,Energiprognose[År],0))</f>
        <v>52.17464159999998</v>
      </c>
      <c r="V8" s="140">
        <f>U8+Energiberegning[[#This Row],[Besparelse_m²]]*INDEX(Energiprognose[Fjernvarme],MATCH(Energiberegning!V$7,Energiprognose[År],0))</f>
        <v>54.689601599999982</v>
      </c>
      <c r="W8" s="140">
        <f>V8+Energiberegning[[#This Row],[Besparelse_m²]]*INDEX(Energiprognose[Fjernvarme],MATCH(Energiberegning!W$7,Energiprognose[År],0))</f>
        <v>57.183004799999985</v>
      </c>
      <c r="X8" s="140">
        <f>W8+Energiberegning[[#This Row],[Besparelse_m²]]*INDEX(Energiprognose[Fjernvarme],MATCH(Energiberegning!X$7,Energiprognose[År],0))</f>
        <v>59.654851199999982</v>
      </c>
      <c r="Y8" s="140">
        <f>X8+Energiberegning[[#This Row],[Besparelse_m²]]*INDEX(Energiprognose[Fjernvarme],MATCH(Energiberegning!Y$7,Energiprognose[År],0))</f>
        <v>62.10514079999998</v>
      </c>
      <c r="Z8" s="140">
        <f>Y8+Energiberegning[[#This Row],[Besparelse_m²]]*INDEX(Energiprognose[Fjernvarme],MATCH(Energiberegning!Z$7,Energiprognose[År],0))</f>
        <v>64.533873599999978</v>
      </c>
      <c r="AA8" s="140">
        <f>Z8+Energiberegning[[#This Row],[Besparelse_m²]]*INDEX(Energiprognose[Fjernvarme],MATCH(Energiberegning!AA$7,Energiprognose[År],0))</f>
        <v>66.941049599999985</v>
      </c>
      <c r="AB8" s="140">
        <f>AA8+Energiberegning[[#This Row],[Besparelse_m²]]*INDEX(Energiprognose[Fjernvarme],MATCH(Energiberegning!AB$7,Energiprognose[År],0))</f>
        <v>69.341039999999992</v>
      </c>
      <c r="AC8" s="140">
        <f>AB8+Energiberegning[[#This Row],[Besparelse_m²]]*INDEX(Energiprognose[Fjernvarme],MATCH(Energiberegning!AC$7,Energiprognose[År],0))</f>
        <v>71.733844799999986</v>
      </c>
      <c r="AD8" s="140">
        <f>AC8+Energiberegning[[#This Row],[Besparelse_m²]]*INDEX(Energiprognose[Fjernvarme],MATCH(Energiberegning!AD$7,Energiprognose[År],0))</f>
        <v>74.119463999999979</v>
      </c>
      <c r="AE8" s="140">
        <f>AD8+Energiberegning[[#This Row],[Besparelse_m²]]*INDEX(Energiprognose[Fjernvarme],MATCH(Energiberegning!AE$7,Energiprognose[År],0))</f>
        <v>76.497897599999973</v>
      </c>
      <c r="AF8" s="140">
        <f>AE8+Energiberegning[[#This Row],[Besparelse_m²]]*INDEX(Energiprognose[Fjernvarme],MATCH(Energiberegning!AF$7,Energiprognose[År],0))</f>
        <v>78.869145599999968</v>
      </c>
      <c r="AG8" s="140">
        <f>AF8+Energiberegning[[#This Row],[Besparelse_m²]]*INDEX(Energiprognose[Fjernvarme],MATCH(Energiberegning!AG$7,Energiprognose[År],0))</f>
        <v>81.240393599999962</v>
      </c>
      <c r="AH8" s="140">
        <f>AG8+Energiberegning[[#This Row],[Besparelse_m²]]*INDEX(Energiprognose[Fjernvarme],MATCH(Energiberegning!AH$7,Energiprognose[År],0))</f>
        <v>83.611641599999956</v>
      </c>
      <c r="AI8" s="140">
        <f>AH8+Energiberegning[[#This Row],[Besparelse_m²]]*INDEX(Energiprognose[Fjernvarme],MATCH(Energiberegning!AI$7,Energiprognose[År],0))</f>
        <v>85.98288959999995</v>
      </c>
      <c r="AJ8" s="140">
        <f>AI8+Energiberegning[[#This Row],[Besparelse_m²]]*INDEX(Energiprognose[Fjernvarme],MATCH(Energiberegning!AJ$7,Energiprognose[År],0))</f>
        <v>88.354137599999945</v>
      </c>
      <c r="AK8" s="140">
        <f>AJ8+Energiberegning[[#This Row],[Besparelse_m²]]*INDEX(Energiprognose[Fjernvarme],MATCH(Energiberegning!AK$7,Energiprognose[År],0))</f>
        <v>90.725385599999939</v>
      </c>
      <c r="AL8" s="140">
        <f>AK8+Energiberegning[[#This Row],[Besparelse_m²]]*INDEX(Energiprognose[Fjernvarme],MATCH(Energiberegning!AL$7,Energiprognose[År],0))</f>
        <v>93.096633599999933</v>
      </c>
      <c r="AM8" s="140">
        <f>AL8+Energiberegning[[#This Row],[Besparelse_m²]]*INDEX(Energiprognose[Fjernvarme],MATCH(Energiberegning!AM$7,Energiprognose[År],0))</f>
        <v>95.467881599999927</v>
      </c>
      <c r="AN8" s="140">
        <f>AM8+Energiberegning[[#This Row],[Besparelse_m²]]*INDEX(Energiprognose[Fjernvarme],MATCH(Energiberegning!AN$7,Energiprognose[År],0))</f>
        <v>97.839129599999922</v>
      </c>
      <c r="AO8" s="140">
        <f>AN8+Energiberegning[[#This Row],[Besparelse_m²]]*INDEX(Energiprognose[Fjernvarme],MATCH(Energiberegning!AO$7,Energiprognose[År],0))</f>
        <v>100.21037759999992</v>
      </c>
      <c r="AP8" s="140">
        <f>AO8+Energiberegning[[#This Row],[Besparelse_m²]]*INDEX(Energiprognose[Fjernvarme],MATCH(Energiberegning!AP$7,Energiprognose[År],0))</f>
        <v>102.58162559999991</v>
      </c>
      <c r="AQ8" s="140">
        <f>AP8+Energiberegning[[#This Row],[Besparelse_m²]]*INDEX(Energiprognose[Fjernvarme],MATCH(Energiberegning!AQ$7,Energiprognose[År],0))</f>
        <v>104.9528735999999</v>
      </c>
      <c r="AR8" s="140">
        <f>AQ8+Energiberegning[[#This Row],[Besparelse_m²]]*INDEX(Energiprognose[Fjernvarme],MATCH(Energiberegning!AR$7,Energiprognose[År],0))</f>
        <v>107.3241215999999</v>
      </c>
      <c r="AS8" s="140">
        <f>AR8+Energiberegning[[#This Row],[Besparelse_m²]]*INDEX(Energiprognose[Fjernvarme],MATCH(Energiberegning!AS$7,Energiprognose[År],0))</f>
        <v>109.69536959999989</v>
      </c>
      <c r="AT8" s="140">
        <f>AS8+Energiberegning[[#This Row],[Besparelse_m²]]*INDEX(Energiprognose[Fjernvarme],MATCH(Energiberegning!AT$7,Energiprognose[År],0))</f>
        <v>112.06661759999989</v>
      </c>
      <c r="AU8" s="140">
        <f>AT8+Energiberegning[[#This Row],[Besparelse_m²]]*INDEX(Energiprognose[Fjernvarme],MATCH(Energiberegning!AU$7,Energiprognose[År],0))</f>
        <v>114.43786559999988</v>
      </c>
      <c r="AV8" s="140">
        <f>AU8+Energiberegning[[#This Row],[Besparelse_m²]]*INDEX(Energiprognose[Fjernvarme],MATCH(Energiberegning!AV$7,Energiprognose[År],0))</f>
        <v>116.80911359999988</v>
      </c>
      <c r="AW8" s="140">
        <f>AV8+Energiberegning[[#This Row],[Besparelse_m²]]*INDEX(Energiprognose[Fjernvarme],MATCH(Energiberegning!AW$7,Energiprognose[År],0))</f>
        <v>119.18036159999987</v>
      </c>
      <c r="AX8" s="140">
        <f>AW8+Energiberegning[[#This Row],[Besparelse_m²]]*INDEX(Energiprognose[Fjernvarme],MATCH(Energiberegning!AX$7,Energiprognose[År],0))</f>
        <v>121.55160959999986</v>
      </c>
      <c r="AY8" s="140">
        <f>AX8+Energiberegning[[#This Row],[Besparelse_m²]]*INDEX(Energiprognose[Fjernvarme],MATCH(Energiberegning!AY$7,Energiprognose[År],0))</f>
        <v>123.92285759999986</v>
      </c>
      <c r="AZ8" s="140">
        <f>AY8+Energiberegning[[#This Row],[Besparelse_m²]]*INDEX(Energiprognose[Fjernvarme],MATCH(Energiberegning!AZ$7,Energiprognose[År],0))</f>
        <v>126.29410559999985</v>
      </c>
      <c r="BA8" s="140">
        <f>AZ8+Energiberegning[[#This Row],[Besparelse_m²]]*INDEX(Energiprognose[Fjernvarme],MATCH(Energiberegning!BA$7,Energiprognose[År],0))</f>
        <v>128.66535359999986</v>
      </c>
      <c r="BB8" s="140">
        <f>BA8+Energiberegning[[#This Row],[Besparelse_m²]]*INDEX(Energiprognose[Fjernvarme],MATCH(Energiberegning!BB$7,Energiprognose[År],0))</f>
        <v>131.03660159999987</v>
      </c>
      <c r="BC8" s="140">
        <f>BB8+Energiberegning[[#This Row],[Besparelse_m²]]*INDEX(Energiprognose[Fjernvarme],MATCH(Energiberegning!BC$7,Energiprognose[År],0))</f>
        <v>133.40784959999988</v>
      </c>
      <c r="BD8" s="140">
        <f>BC8+Energiberegning[[#This Row],[Besparelse_m²]]*INDEX(Energiprognose[Fjernvarme],MATCH(Energiberegning!BD$7,Energiprognose[År],0))</f>
        <v>135.77909759999989</v>
      </c>
      <c r="BE8" s="140">
        <f>BD8+Energiberegning[[#This Row],[Besparelse_m²]]*INDEX(Energiprognose[Fjernvarme],MATCH(Energiberegning!BE$7,Energiprognose[År],0))</f>
        <v>138.15034559999989</v>
      </c>
      <c r="BF8" s="140">
        <f>BE8+Energiberegning[[#This Row],[Besparelse_m²]]*INDEX(Energiprognose[Fjernvarme],MATCH(Energiberegning!BF$7,Energiprognose[År],0))</f>
        <v>140.5215935999999</v>
      </c>
      <c r="BG8" s="140">
        <f>BF8+Energiberegning[[#This Row],[Besparelse_m²]]*INDEX(Energiprognose[Fjernvarme],MATCH(Energiberegning!BG$7,Energiprognose[År],0))</f>
        <v>142.89284159999991</v>
      </c>
      <c r="BH8" s="140">
        <f>BG8+Energiberegning[[#This Row],[Besparelse_m²]]*INDEX(Energiprognose[Fjernvarme],MATCH(Energiberegning!BH$7,Energiprognose[År],0))</f>
        <v>145.26408959999992</v>
      </c>
      <c r="BI8" s="140">
        <f>BH8+Energiberegning[[#This Row],[Besparelse_m²]]*INDEX(Energiprognose[Fjernvarme],MATCH(Energiberegning!BI$7,Energiprognose[År],0))</f>
        <v>147.63533759999993</v>
      </c>
      <c r="BJ8" s="140">
        <f>BI8+Energiberegning[[#This Row],[Besparelse_m²]]*INDEX(Energiprognose[Fjernvarme],MATCH(Energiberegning!BJ$7,Energiprognose[År],0))</f>
        <v>150.00658559999994</v>
      </c>
      <c r="BK8" s="140">
        <f>BJ8+Energiberegning[[#This Row],[Besparelse_m²]]*INDEX(Energiprognose[Fjernvarme],MATCH(Energiberegning!BK$7,Energiprognose[År],0))</f>
        <v>152.37783359999995</v>
      </c>
      <c r="BL8" s="140">
        <f>BK8+Energiberegning[[#This Row],[Besparelse_m²]]*INDEX(Energiprognose[Fjernvarme],MATCH(Energiberegning!BL$7,Energiprognose[År],0))</f>
        <v>154.74908159999995</v>
      </c>
      <c r="BM8" s="140">
        <f>BL8+Energiberegning[[#This Row],[Besparelse_m²]]*INDEX(Energiprognose[Fjernvarme],MATCH(Energiberegning!BM$7,Energiprognose[År],0))</f>
        <v>157.12032959999996</v>
      </c>
      <c r="BN8" s="140">
        <f>BM8+Energiberegning[[#This Row],[Besparelse_m²]]*INDEX(Energiprognose[Fjernvarme],MATCH(Energiberegning!BN$7,Energiprognose[År],0))</f>
        <v>159.49157759999997</v>
      </c>
      <c r="BO8" s="140">
        <f>BN8+Energiberegning[[#This Row],[Besparelse_m²]]*INDEX(Energiprognose[Fjernvarme],MATCH(Energiberegning!BO$7,Energiprognose[År],0))</f>
        <v>161.86282559999998</v>
      </c>
      <c r="BP8" s="140">
        <f>BO8+Energiberegning[[#This Row],[Besparelse_m²]]*INDEX(Energiprognose[Fjernvarme],MATCH(Energiberegning!BP$7,Energiprognose[År],0))</f>
        <v>164.23407359999999</v>
      </c>
      <c r="BQ8" s="140">
        <f>BP8+Energiberegning[[#This Row],[Besparelse_m²]]*INDEX(Energiprognose[Fjernvarme],MATCH(Energiberegning!BQ$7,Energiprognose[År],0))</f>
        <v>166.6053216</v>
      </c>
      <c r="BR8" s="140">
        <f>BQ8+Energiberegning[[#This Row],[Besparelse_m²]]*INDEX(Energiprognose[Fjernvarme],MATCH(Energiberegning!BR$7,Energiprognose[År],0))</f>
        <v>168.9765696</v>
      </c>
      <c r="BS8" s="140">
        <f>BR8+Energiberegning[[#This Row],[Besparelse_m²]]*INDEX(Energiprognose[Fjernvarme],MATCH(Energiberegning!BS$7,Energiprognose[År],0))</f>
        <v>171.34781760000001</v>
      </c>
      <c r="BT8" s="140">
        <f>BS8+Energiberegning[[#This Row],[Besparelse_m²]]*INDEX(Energiprognose[Fjernvarme],MATCH(Energiberegning!BT$7,Energiprognose[År],0))</f>
        <v>173.71906560000002</v>
      </c>
      <c r="BU8" s="140">
        <f>BT8+Energiberegning[[#This Row],[Besparelse_m²]]*INDEX(Energiprognose[Fjernvarme],MATCH(Energiberegning!BU$7,Energiprognose[År],0))</f>
        <v>176.09031360000003</v>
      </c>
      <c r="BV8" s="140">
        <f>BU8+Energiberegning[[#This Row],[Besparelse_m²]]*INDEX(Energiprognose[Fjernvarme],MATCH(Energiberegning!BV$7,Energiprognose[År],0))</f>
        <v>178.46156160000004</v>
      </c>
      <c r="BW8" s="140">
        <f>BV8+Energiberegning[[#This Row],[Besparelse_m²]]*INDEX(Energiprognose[Fjernvarme],MATCH(Energiberegning!BW$7,Energiprognose[År],0))</f>
        <v>180.83280960000005</v>
      </c>
      <c r="BX8" s="140">
        <f>BW8+Energiberegning[[#This Row],[Besparelse_m²]]*INDEX(Energiprognose[Fjernvarme],MATCH(Energiberegning!BX$7,Energiprognose[År],0))</f>
        <v>183.20405760000006</v>
      </c>
      <c r="BY8" s="140">
        <f>BX8+Energiberegning[[#This Row],[Besparelse_m²]]*INDEX(Energiprognose[Fjernvarme],MATCH(Energiberegning!BY$7,Energiprognose[År],0))</f>
        <v>185.57530560000006</v>
      </c>
      <c r="BZ8" s="140">
        <f>BY8+Energiberegning[[#This Row],[Besparelse_m²]]*INDEX(Energiprognose[Fjernvarme],MATCH(Energiberegning!BZ$7,Energiprognose[År],0))</f>
        <v>187.94655360000007</v>
      </c>
      <c r="CA8" s="140">
        <f>BZ8+Energiberegning[[#This Row],[Besparelse_m²]]*INDEX(Energiprognose[Fjernvarme],MATCH(Energiberegning!CA$7,Energiprognose[År],0))</f>
        <v>190.31780160000008</v>
      </c>
      <c r="CB8" s="140">
        <f>CA8+Energiberegning[[#This Row],[Besparelse_m²]]*INDEX(Energiprognose[Fjernvarme],MATCH(Energiberegning!CB$7,Energiprognose[År],0))</f>
        <v>192.68904960000009</v>
      </c>
      <c r="CC8" s="140">
        <f>CB8+Energiberegning[[#This Row],[Besparelse_m²]]*INDEX(Energiprognose[Fjernvarme],MATCH(Energiberegning!CC$7,Energiprognose[År],0))</f>
        <v>195.0602976000001</v>
      </c>
      <c r="CD8" s="140">
        <f>CC8+Energiberegning[[#This Row],[Besparelse_m²]]*INDEX(Energiprognose[Fjernvarme],MATCH(Energiberegning!CD$7,Energiprognose[År],0))</f>
        <v>197.43154560000011</v>
      </c>
      <c r="CE8" s="140">
        <f>CD8+Energiberegning[[#This Row],[Besparelse_m²]]*INDEX(Energiprognose[Fjernvarme],MATCH(Energiberegning!CE$7,Energiprognose[År],0))</f>
        <v>199.80279360000011</v>
      </c>
      <c r="CF8" s="140">
        <f>CE8+Energiberegning[[#This Row],[Besparelse_m²]]*INDEX(Energiprognose[Fjernvarme],MATCH(Energiberegning!CF$7,Energiprognose[År],0))</f>
        <v>202.17404160000012</v>
      </c>
      <c r="CG8" s="140">
        <f>CF8+Energiberegning[[#This Row],[Besparelse_m²]]*INDEX(Energiprognose[Fjernvarme],MATCH(Energiberegning!CG$7,Energiprognose[År],0))</f>
        <v>204.54528960000013</v>
      </c>
      <c r="CH8" s="140">
        <f>CG8+Energiberegning[[#This Row],[Besparelse_m²]]*INDEX(Energiprognose[Fjernvarme],MATCH(Energiberegning!CH$7,Energiprognose[År],0))</f>
        <v>206.91653760000014</v>
      </c>
      <c r="CI8" s="140">
        <f>CH8+Energiberegning[[#This Row],[Besparelse_m²]]*INDEX(Energiprognose[Fjernvarme],MATCH(Energiberegning!CI$7,Energiprognose[År],0))</f>
        <v>209.28778560000015</v>
      </c>
      <c r="CJ8" s="140">
        <f>CI8+Energiberegning[[#This Row],[Besparelse_m²]]*INDEX(Energiprognose[Fjernvarme],MATCH(Energiberegning!CJ$7,Energiprognose[År],0))</f>
        <v>211.65903360000016</v>
      </c>
      <c r="CK8" s="140">
        <f>CJ8+Energiberegning[[#This Row],[Besparelse_m²]]*INDEX(Energiprognose[Fjernvarme],MATCH(Energiberegning!CK$7,Energiprognose[År],0))</f>
        <v>214.03028160000017</v>
      </c>
      <c r="CL8" s="140">
        <f>CK8+Energiberegning[[#This Row],[Besparelse_m²]]*INDEX(Energiprognose[Fjernvarme],MATCH(Energiberegning!CL$7,Energiprognose[År],0))</f>
        <v>216.40152960000017</v>
      </c>
      <c r="CM8" s="140">
        <f>CL8+Energiberegning[[#This Row],[Besparelse_m²]]*INDEX(Energiprognose[Fjernvarme],MATCH(Energiberegning!CM$7,Energiprognose[År],0))</f>
        <v>218.77277760000018</v>
      </c>
      <c r="CN8" s="19"/>
    </row>
    <row r="9" spans="1:92">
      <c r="A9" t="s">
        <v>522</v>
      </c>
      <c r="B9" s="139">
        <f>_xlfn.NUMBERVALUE(LEFT(Energiberegning[[#This Row],[Ydervæg]],2))</f>
        <v>24</v>
      </c>
      <c r="C9">
        <v>50</v>
      </c>
      <c r="D9">
        <v>150</v>
      </c>
      <c r="E9">
        <f>Energiberegning[[#This Row],[Nuværende isolering]]+Energiberegning[[#This Row],[Efterisolering]]</f>
        <v>200</v>
      </c>
      <c r="F9">
        <v>0.68799999999999994</v>
      </c>
      <c r="G9">
        <v>0.16</v>
      </c>
      <c r="H9" s="120">
        <v>51120</v>
      </c>
      <c r="I9">
        <f>Energiberegning[[#This Row],[Besparelse_1000_m²]]/1000</f>
        <v>51.12</v>
      </c>
      <c r="J9" s="159">
        <v>0</v>
      </c>
      <c r="K9" s="152">
        <f>Energiberegning[[#This Row],[Besparelse_m²]]*INDEX(Energiprognose[Fjernvarme],MATCH(Energiberegning!K$7,Energiprognose[År],0))</f>
        <v>2.3791247999999996</v>
      </c>
      <c r="L9" s="140">
        <f>K9+Energiberegning[[#This Row],[Besparelse_m²]]*INDEX(Energiprognose[Fjernvarme],MATCH(Energiberegning!L$7,Energiprognose[År],0))</f>
        <v>4.5159407999999992</v>
      </c>
      <c r="M9" s="140">
        <f>L9+Energiberegning[[#This Row],[Besparelse_m²]]*INDEX(Energiprognose[Fjernvarme],MATCH(Energiberegning!M$7,Energiprognose[År],0))</f>
        <v>6.4104479999999988</v>
      </c>
      <c r="N9" s="140">
        <f>M9+Energiberegning[[#This Row],[Besparelse_m²]]*INDEX(Energiprognose[Fjernvarme],MATCH(Energiberegning!N$7,Energiprognose[År],0))</f>
        <v>8.0626463999999984</v>
      </c>
      <c r="O9" s="140">
        <f>N9+Energiberegning[[#This Row],[Besparelse_m²]]*INDEX(Energiprognose[Fjernvarme],MATCH(Energiberegning!O$7,Energiprognose[År],0))</f>
        <v>9.4725359999999981</v>
      </c>
      <c r="P9" s="140">
        <f>O9+Energiberegning[[#This Row],[Besparelse_m²]]*INDEX(Energiprognose[Fjernvarme],MATCH(Energiberegning!P$7,Energiprognose[År],0))</f>
        <v>10.640116799999998</v>
      </c>
      <c r="Q9" s="140">
        <f>P9+Energiberegning[[#This Row],[Besparelse_m²]]*INDEX(Energiprognose[Fjernvarme],MATCH(Energiberegning!Q$7,Energiprognose[År],0))</f>
        <v>11.565388799999997</v>
      </c>
      <c r="R9" s="140">
        <f>Q9+Energiberegning[[#This Row],[Besparelse_m²]]*INDEX(Energiprognose[Fjernvarme],MATCH(Energiberegning!R$7,Energiprognose[År],0))</f>
        <v>12.448742399999997</v>
      </c>
      <c r="S9" s="140">
        <f>R9+Energiberegning[[#This Row],[Besparelse_m²]]*INDEX(Energiprognose[Fjernvarme],MATCH(Energiberegning!S$7,Energiprognose[År],0))</f>
        <v>13.290177599999996</v>
      </c>
      <c r="T9" s="140">
        <f>S9+Energiberegning[[#This Row],[Besparelse_m²]]*INDEX(Energiprognose[Fjernvarme],MATCH(Energiberegning!T$7,Energiprognose[År],0))</f>
        <v>14.089694399999996</v>
      </c>
      <c r="U9" s="140">
        <f>T9+Energiberegning[[#This Row],[Besparelse_m²]]*INDEX(Energiprognose[Fjernvarme],MATCH(Energiberegning!U$7,Energiprognose[År],0))</f>
        <v>14.847292799999995</v>
      </c>
      <c r="V9" s="140">
        <f>U9+Energiberegning[[#This Row],[Besparelse_m²]]*INDEX(Energiprognose[Fjernvarme],MATCH(Energiberegning!V$7,Energiprognose[År],0))</f>
        <v>15.562972799999995</v>
      </c>
      <c r="W9" s="140">
        <f>V9+Energiberegning[[#This Row],[Besparelse_m²]]*INDEX(Energiprognose[Fjernvarme],MATCH(Energiberegning!W$7,Energiprognose[År],0))</f>
        <v>16.272518399999996</v>
      </c>
      <c r="X9" s="140">
        <f>W9+Energiberegning[[#This Row],[Besparelse_m²]]*INDEX(Energiprognose[Fjernvarme],MATCH(Energiberegning!X$7,Energiprognose[År],0))</f>
        <v>16.975929599999997</v>
      </c>
      <c r="Y9" s="140">
        <f>X9+Energiberegning[[#This Row],[Besparelse_m²]]*INDEX(Energiprognose[Fjernvarme],MATCH(Energiberegning!Y$7,Energiprognose[År],0))</f>
        <v>17.673206399999998</v>
      </c>
      <c r="Z9" s="140">
        <f>Y9+Energiberegning[[#This Row],[Besparelse_m²]]*INDEX(Energiprognose[Fjernvarme],MATCH(Energiberegning!Z$7,Energiprognose[År],0))</f>
        <v>18.364348799999998</v>
      </c>
      <c r="AA9" s="140">
        <f>Z9+Energiberegning[[#This Row],[Besparelse_m²]]*INDEX(Energiprognose[Fjernvarme],MATCH(Energiberegning!AA$7,Energiprognose[År],0))</f>
        <v>19.049356799999998</v>
      </c>
      <c r="AB9" s="140">
        <f>AA9+Energiberegning[[#This Row],[Besparelse_m²]]*INDEX(Energiprognose[Fjernvarme],MATCH(Energiberegning!AB$7,Energiprognose[År],0))</f>
        <v>19.732319999999998</v>
      </c>
      <c r="AC9" s="140">
        <f>AB9+Energiberegning[[#This Row],[Besparelse_m²]]*INDEX(Energiprognose[Fjernvarme],MATCH(Energiberegning!AC$7,Energiprognose[År],0))</f>
        <v>20.413238399999997</v>
      </c>
      <c r="AD9" s="140">
        <f>AC9+Energiberegning[[#This Row],[Besparelse_m²]]*INDEX(Energiprognose[Fjernvarme],MATCH(Energiberegning!AD$7,Energiprognose[År],0))</f>
        <v>21.092111999999997</v>
      </c>
      <c r="AE9" s="140">
        <f>AD9+Energiberegning[[#This Row],[Besparelse_m²]]*INDEX(Energiprognose[Fjernvarme],MATCH(Energiberegning!AE$7,Energiprognose[År],0))</f>
        <v>21.768940799999996</v>
      </c>
      <c r="AF9" s="140">
        <f>AE9+Energiberegning[[#This Row],[Besparelse_m²]]*INDEX(Energiprognose[Fjernvarme],MATCH(Energiberegning!AF$7,Energiprognose[År],0))</f>
        <v>22.443724799999995</v>
      </c>
      <c r="AG9" s="140">
        <f>AF9+Energiberegning[[#This Row],[Besparelse_m²]]*INDEX(Energiprognose[Fjernvarme],MATCH(Energiberegning!AG$7,Energiprognose[År],0))</f>
        <v>23.118508799999994</v>
      </c>
      <c r="AH9" s="140">
        <f>AG9+Energiberegning[[#This Row],[Besparelse_m²]]*INDEX(Energiprognose[Fjernvarme],MATCH(Energiberegning!AH$7,Energiprognose[År],0))</f>
        <v>23.793292799999993</v>
      </c>
      <c r="AI9" s="140">
        <f>AH9+Energiberegning[[#This Row],[Besparelse_m²]]*INDEX(Energiprognose[Fjernvarme],MATCH(Energiberegning!AI$7,Energiprognose[År],0))</f>
        <v>24.468076799999992</v>
      </c>
      <c r="AJ9" s="140">
        <f>AI9+Energiberegning[[#This Row],[Besparelse_m²]]*INDEX(Energiprognose[Fjernvarme],MATCH(Energiberegning!AJ$7,Energiprognose[År],0))</f>
        <v>25.14286079999999</v>
      </c>
      <c r="AK9" s="140">
        <f>AJ9+Energiberegning[[#This Row],[Besparelse_m²]]*INDEX(Energiprognose[Fjernvarme],MATCH(Energiberegning!AK$7,Energiprognose[År],0))</f>
        <v>25.817644799999989</v>
      </c>
      <c r="AL9" s="140">
        <f>AK9+Energiberegning[[#This Row],[Besparelse_m²]]*INDEX(Energiprognose[Fjernvarme],MATCH(Energiberegning!AL$7,Energiprognose[År],0))</f>
        <v>26.492428799999988</v>
      </c>
      <c r="AM9" s="140">
        <f>AL9+Energiberegning[[#This Row],[Besparelse_m²]]*INDEX(Energiprognose[Fjernvarme],MATCH(Energiberegning!AM$7,Energiprognose[År],0))</f>
        <v>27.167212799999987</v>
      </c>
      <c r="AN9" s="140">
        <f>AM9+Energiberegning[[#This Row],[Besparelse_m²]]*INDEX(Energiprognose[Fjernvarme],MATCH(Energiberegning!AN$7,Energiprognose[År],0))</f>
        <v>27.841996799999986</v>
      </c>
      <c r="AO9" s="140">
        <f>AN9+Energiberegning[[#This Row],[Besparelse_m²]]*INDEX(Energiprognose[Fjernvarme],MATCH(Energiberegning!AO$7,Energiprognose[År],0))</f>
        <v>28.516780799999985</v>
      </c>
      <c r="AP9" s="140">
        <f>AO9+Energiberegning[[#This Row],[Besparelse_m²]]*INDEX(Energiprognose[Fjernvarme],MATCH(Energiberegning!AP$7,Energiprognose[År],0))</f>
        <v>29.191564799999984</v>
      </c>
      <c r="AQ9" s="140">
        <f>AP9+Energiberegning[[#This Row],[Besparelse_m²]]*INDEX(Energiprognose[Fjernvarme],MATCH(Energiberegning!AQ$7,Energiprognose[År],0))</f>
        <v>29.866348799999983</v>
      </c>
      <c r="AR9" s="140">
        <f>AQ9+Energiberegning[[#This Row],[Besparelse_m²]]*INDEX(Energiprognose[Fjernvarme],MATCH(Energiberegning!AR$7,Energiprognose[År],0))</f>
        <v>30.541132799999982</v>
      </c>
      <c r="AS9" s="140">
        <f>AR9+Energiberegning[[#This Row],[Besparelse_m²]]*INDEX(Energiprognose[Fjernvarme],MATCH(Energiberegning!AS$7,Energiprognose[År],0))</f>
        <v>31.215916799999981</v>
      </c>
      <c r="AT9" s="140">
        <f>AS9+Energiberegning[[#This Row],[Besparelse_m²]]*INDEX(Energiprognose[Fjernvarme],MATCH(Energiberegning!AT$7,Energiprognose[År],0))</f>
        <v>31.89070079999998</v>
      </c>
      <c r="AU9" s="140">
        <f>AT9+Energiberegning[[#This Row],[Besparelse_m²]]*INDEX(Energiprognose[Fjernvarme],MATCH(Energiberegning!AU$7,Energiprognose[År],0))</f>
        <v>32.565484799999979</v>
      </c>
      <c r="AV9" s="140">
        <f>AU9+Energiberegning[[#This Row],[Besparelse_m²]]*INDEX(Energiprognose[Fjernvarme],MATCH(Energiberegning!AV$7,Energiprognose[År],0))</f>
        <v>33.240268799999981</v>
      </c>
      <c r="AW9" s="140">
        <f>AV9+Energiberegning[[#This Row],[Besparelse_m²]]*INDEX(Energiprognose[Fjernvarme],MATCH(Energiberegning!AW$7,Energiprognose[År],0))</f>
        <v>33.915052799999984</v>
      </c>
      <c r="AX9" s="140">
        <f>AW9+Energiberegning[[#This Row],[Besparelse_m²]]*INDEX(Energiprognose[Fjernvarme],MATCH(Energiberegning!AX$7,Energiprognose[År],0))</f>
        <v>34.589836799999986</v>
      </c>
      <c r="AY9" s="140">
        <f>AX9+Energiberegning[[#This Row],[Besparelse_m²]]*INDEX(Energiprognose[Fjernvarme],MATCH(Energiberegning!AY$7,Energiprognose[År],0))</f>
        <v>35.264620799999989</v>
      </c>
      <c r="AZ9" s="140">
        <f>AY9+Energiberegning[[#This Row],[Besparelse_m²]]*INDEX(Energiprognose[Fjernvarme],MATCH(Energiberegning!AZ$7,Energiprognose[År],0))</f>
        <v>35.939404799999991</v>
      </c>
      <c r="BA9" s="140">
        <f>AZ9+Energiberegning[[#This Row],[Besparelse_m²]]*INDEX(Energiprognose[Fjernvarme],MATCH(Energiberegning!BA$7,Energiprognose[År],0))</f>
        <v>36.614188799999994</v>
      </c>
      <c r="BB9" s="140">
        <f>BA9+Energiberegning[[#This Row],[Besparelse_m²]]*INDEX(Energiprognose[Fjernvarme],MATCH(Energiberegning!BB$7,Energiprognose[År],0))</f>
        <v>37.288972799999996</v>
      </c>
      <c r="BC9" s="140">
        <f>BB9+Energiberegning[[#This Row],[Besparelse_m²]]*INDEX(Energiprognose[Fjernvarme],MATCH(Energiberegning!BC$7,Energiprognose[År],0))</f>
        <v>37.963756799999999</v>
      </c>
      <c r="BD9" s="140">
        <f>BC9+Energiberegning[[#This Row],[Besparelse_m²]]*INDEX(Energiprognose[Fjernvarme],MATCH(Energiberegning!BD$7,Energiprognose[År],0))</f>
        <v>38.638540800000001</v>
      </c>
      <c r="BE9" s="140">
        <f>BD9+Energiberegning[[#This Row],[Besparelse_m²]]*INDEX(Energiprognose[Fjernvarme],MATCH(Energiberegning!BE$7,Energiprognose[År],0))</f>
        <v>39.313324800000004</v>
      </c>
      <c r="BF9" s="140">
        <f>BE9+Energiberegning[[#This Row],[Besparelse_m²]]*INDEX(Energiprognose[Fjernvarme],MATCH(Energiberegning!BF$7,Energiprognose[År],0))</f>
        <v>39.988108800000006</v>
      </c>
      <c r="BG9" s="140">
        <f>BF9+Energiberegning[[#This Row],[Besparelse_m²]]*INDEX(Energiprognose[Fjernvarme],MATCH(Energiberegning!BG$7,Energiprognose[År],0))</f>
        <v>40.662892800000009</v>
      </c>
      <c r="BH9" s="140">
        <f>BG9+Energiberegning[[#This Row],[Besparelse_m²]]*INDEX(Energiprognose[Fjernvarme],MATCH(Energiberegning!BH$7,Energiprognose[År],0))</f>
        <v>41.337676800000011</v>
      </c>
      <c r="BI9" s="140">
        <f>BH9+Energiberegning[[#This Row],[Besparelse_m²]]*INDEX(Energiprognose[Fjernvarme],MATCH(Energiberegning!BI$7,Energiprognose[År],0))</f>
        <v>42.012460800000014</v>
      </c>
      <c r="BJ9" s="140">
        <f>BI9+Energiberegning[[#This Row],[Besparelse_m²]]*INDEX(Energiprognose[Fjernvarme],MATCH(Energiberegning!BJ$7,Energiprognose[År],0))</f>
        <v>42.687244800000016</v>
      </c>
      <c r="BK9" s="140">
        <f>BJ9+Energiberegning[[#This Row],[Besparelse_m²]]*INDEX(Energiprognose[Fjernvarme],MATCH(Energiberegning!BK$7,Energiprognose[År],0))</f>
        <v>43.362028800000019</v>
      </c>
      <c r="BL9" s="140">
        <f>BK9+Energiberegning[[#This Row],[Besparelse_m²]]*INDEX(Energiprognose[Fjernvarme],MATCH(Energiberegning!BL$7,Energiprognose[År],0))</f>
        <v>44.036812800000021</v>
      </c>
      <c r="BM9" s="140">
        <f>BL9+Energiberegning[[#This Row],[Besparelse_m²]]*INDEX(Energiprognose[Fjernvarme],MATCH(Energiberegning!BM$7,Energiprognose[År],0))</f>
        <v>44.711596800000024</v>
      </c>
      <c r="BN9" s="140">
        <f>BM9+Energiberegning[[#This Row],[Besparelse_m²]]*INDEX(Energiprognose[Fjernvarme],MATCH(Energiberegning!BN$7,Energiprognose[År],0))</f>
        <v>45.386380800000026</v>
      </c>
      <c r="BO9" s="140">
        <f>BN9+Energiberegning[[#This Row],[Besparelse_m²]]*INDEX(Energiprognose[Fjernvarme],MATCH(Energiberegning!BO$7,Energiprognose[År],0))</f>
        <v>46.061164800000029</v>
      </c>
      <c r="BP9" s="140">
        <f>BO9+Energiberegning[[#This Row],[Besparelse_m²]]*INDEX(Energiprognose[Fjernvarme],MATCH(Energiberegning!BP$7,Energiprognose[År],0))</f>
        <v>46.735948800000031</v>
      </c>
      <c r="BQ9" s="140">
        <f>BP9+Energiberegning[[#This Row],[Besparelse_m²]]*INDEX(Energiprognose[Fjernvarme],MATCH(Energiberegning!BQ$7,Energiprognose[År],0))</f>
        <v>47.410732800000034</v>
      </c>
      <c r="BR9" s="140">
        <f>BQ9+Energiberegning[[#This Row],[Besparelse_m²]]*INDEX(Energiprognose[Fjernvarme],MATCH(Energiberegning!BR$7,Energiprognose[År],0))</f>
        <v>48.085516800000036</v>
      </c>
      <c r="BS9" s="140">
        <f>BR9+Energiberegning[[#This Row],[Besparelse_m²]]*INDEX(Energiprognose[Fjernvarme],MATCH(Energiberegning!BS$7,Energiprognose[År],0))</f>
        <v>48.760300800000039</v>
      </c>
      <c r="BT9" s="140">
        <f>BS9+Energiberegning[[#This Row],[Besparelse_m²]]*INDEX(Energiprognose[Fjernvarme],MATCH(Energiberegning!BT$7,Energiprognose[År],0))</f>
        <v>49.435084800000041</v>
      </c>
      <c r="BU9" s="140">
        <f>BT9+Energiberegning[[#This Row],[Besparelse_m²]]*INDEX(Energiprognose[Fjernvarme],MATCH(Energiberegning!BU$7,Energiprognose[År],0))</f>
        <v>50.109868800000044</v>
      </c>
      <c r="BV9" s="140">
        <f>BU9+Energiberegning[[#This Row],[Besparelse_m²]]*INDEX(Energiprognose[Fjernvarme],MATCH(Energiberegning!BV$7,Energiprognose[År],0))</f>
        <v>50.784652800000046</v>
      </c>
      <c r="BW9" s="140">
        <f>BV9+Energiberegning[[#This Row],[Besparelse_m²]]*INDEX(Energiprognose[Fjernvarme],MATCH(Energiberegning!BW$7,Energiprognose[År],0))</f>
        <v>51.459436800000049</v>
      </c>
      <c r="BX9" s="140">
        <f>BW9+Energiberegning[[#This Row],[Besparelse_m²]]*INDEX(Energiprognose[Fjernvarme],MATCH(Energiberegning!BX$7,Energiprognose[År],0))</f>
        <v>52.134220800000051</v>
      </c>
      <c r="BY9" s="140">
        <f>BX9+Energiberegning[[#This Row],[Besparelse_m²]]*INDEX(Energiprognose[Fjernvarme],MATCH(Energiberegning!BY$7,Energiprognose[År],0))</f>
        <v>52.809004800000054</v>
      </c>
      <c r="BZ9" s="140">
        <f>BY9+Energiberegning[[#This Row],[Besparelse_m²]]*INDEX(Energiprognose[Fjernvarme],MATCH(Energiberegning!BZ$7,Energiprognose[År],0))</f>
        <v>53.483788800000056</v>
      </c>
      <c r="CA9" s="140">
        <f>BZ9+Energiberegning[[#This Row],[Besparelse_m²]]*INDEX(Energiprognose[Fjernvarme],MATCH(Energiberegning!CA$7,Energiprognose[År],0))</f>
        <v>54.158572800000059</v>
      </c>
      <c r="CB9" s="140">
        <f>CA9+Energiberegning[[#This Row],[Besparelse_m²]]*INDEX(Energiprognose[Fjernvarme],MATCH(Energiberegning!CB$7,Energiprognose[År],0))</f>
        <v>54.833356800000061</v>
      </c>
      <c r="CC9" s="140">
        <f>CB9+Energiberegning[[#This Row],[Besparelse_m²]]*INDEX(Energiprognose[Fjernvarme],MATCH(Energiberegning!CC$7,Energiprognose[År],0))</f>
        <v>55.508140800000064</v>
      </c>
      <c r="CD9" s="140">
        <f>CC9+Energiberegning[[#This Row],[Besparelse_m²]]*INDEX(Energiprognose[Fjernvarme],MATCH(Energiberegning!CD$7,Energiprognose[År],0))</f>
        <v>56.182924800000066</v>
      </c>
      <c r="CE9" s="140">
        <f>CD9+Energiberegning[[#This Row],[Besparelse_m²]]*INDEX(Energiprognose[Fjernvarme],MATCH(Energiberegning!CE$7,Energiprognose[År],0))</f>
        <v>56.857708800000069</v>
      </c>
      <c r="CF9" s="140">
        <f>CE9+Energiberegning[[#This Row],[Besparelse_m²]]*INDEX(Energiprognose[Fjernvarme],MATCH(Energiberegning!CF$7,Energiprognose[År],0))</f>
        <v>57.532492800000071</v>
      </c>
      <c r="CG9" s="140">
        <f>CF9+Energiberegning[[#This Row],[Besparelse_m²]]*INDEX(Energiprognose[Fjernvarme],MATCH(Energiberegning!CG$7,Energiprognose[År],0))</f>
        <v>58.207276800000074</v>
      </c>
      <c r="CH9" s="140">
        <f>CG9+Energiberegning[[#This Row],[Besparelse_m²]]*INDEX(Energiprognose[Fjernvarme],MATCH(Energiberegning!CH$7,Energiprognose[År],0))</f>
        <v>58.882060800000076</v>
      </c>
      <c r="CI9" s="140">
        <f>CH9+Energiberegning[[#This Row],[Besparelse_m²]]*INDEX(Energiprognose[Fjernvarme],MATCH(Energiberegning!CI$7,Energiprognose[År],0))</f>
        <v>59.556844800000079</v>
      </c>
      <c r="CJ9" s="140">
        <f>CI9+Energiberegning[[#This Row],[Besparelse_m²]]*INDEX(Energiprognose[Fjernvarme],MATCH(Energiberegning!CJ$7,Energiprognose[År],0))</f>
        <v>60.231628800000081</v>
      </c>
      <c r="CK9" s="140">
        <f>CJ9+Energiberegning[[#This Row],[Besparelse_m²]]*INDEX(Energiprognose[Fjernvarme],MATCH(Energiberegning!CK$7,Energiprognose[År],0))</f>
        <v>60.906412800000084</v>
      </c>
      <c r="CL9" s="140">
        <f>CK9+Energiberegning[[#This Row],[Besparelse_m²]]*INDEX(Energiprognose[Fjernvarme],MATCH(Energiberegning!CL$7,Energiprognose[År],0))</f>
        <v>61.581196800000086</v>
      </c>
      <c r="CM9" s="140">
        <f>CL9+Energiberegning[[#This Row],[Besparelse_m²]]*INDEX(Energiprognose[Fjernvarme],MATCH(Energiberegning!CM$7,Energiprognose[År],0))</f>
        <v>62.255980800000088</v>
      </c>
      <c r="CN9" s="19"/>
    </row>
    <row r="10" spans="1:92">
      <c r="A10" t="s">
        <v>523</v>
      </c>
      <c r="B10" s="139">
        <f>_xlfn.NUMBERVALUE(LEFT(Energiberegning[[#This Row],[Ydervæg]],2))</f>
        <v>24</v>
      </c>
      <c r="C10">
        <v>100</v>
      </c>
      <c r="D10">
        <v>100</v>
      </c>
      <c r="E10">
        <f>Energiberegning[[#This Row],[Nuværende isolering]]+Energiberegning[[#This Row],[Efterisolering]]</f>
        <v>200</v>
      </c>
      <c r="F10">
        <v>0.46</v>
      </c>
      <c r="G10">
        <v>0.16</v>
      </c>
      <c r="H10" s="120">
        <v>29160</v>
      </c>
      <c r="I10">
        <f>Energiberegning[[#This Row],[Besparelse_1000_m²]]/1000</f>
        <v>29.16</v>
      </c>
      <c r="J10" s="159">
        <v>0</v>
      </c>
      <c r="K10" s="152">
        <f>Energiberegning[[#This Row],[Besparelse_m²]]*INDEX(Energiprognose[Fjernvarme],MATCH(Energiberegning!K$7,Energiprognose[År],0))</f>
        <v>1.3571063999999999</v>
      </c>
      <c r="L10" s="140">
        <f>K10+Energiberegning[[#This Row],[Besparelse_m²]]*INDEX(Energiprognose[Fjernvarme],MATCH(Energiberegning!L$7,Energiprognose[År],0))</f>
        <v>2.5759943999999999</v>
      </c>
      <c r="M10" s="140">
        <f>L10+Energiberegning[[#This Row],[Besparelse_m²]]*INDEX(Energiprognose[Fjernvarme],MATCH(Energiberegning!M$7,Energiprognose[År],0))</f>
        <v>3.6566639999999997</v>
      </c>
      <c r="N10" s="140">
        <f>M10+Energiberegning[[#This Row],[Besparelse_m²]]*INDEX(Energiprognose[Fjernvarme],MATCH(Energiberegning!N$7,Energiprognose[År],0))</f>
        <v>4.5991152</v>
      </c>
      <c r="O10" s="140">
        <f>N10+Energiberegning[[#This Row],[Besparelse_m²]]*INDEX(Energiprognose[Fjernvarme],MATCH(Energiberegning!O$7,Energiprognose[År],0))</f>
        <v>5.4033479999999994</v>
      </c>
      <c r="P10" s="140">
        <f>O10+Energiberegning[[#This Row],[Besparelse_m²]]*INDEX(Energiprognose[Fjernvarme],MATCH(Energiberegning!P$7,Energiprognose[År],0))</f>
        <v>6.0693623999999993</v>
      </c>
      <c r="Q10" s="140">
        <f>P10+Energiberegning[[#This Row],[Besparelse_m²]]*INDEX(Energiprognose[Fjernvarme],MATCH(Energiberegning!Q$7,Energiprognose[År],0))</f>
        <v>6.5971583999999996</v>
      </c>
      <c r="R10" s="140">
        <f>Q10+Energiberegning[[#This Row],[Besparelse_m²]]*INDEX(Energiprognose[Fjernvarme],MATCH(Energiberegning!R$7,Energiprognose[År],0))</f>
        <v>7.1010431999999994</v>
      </c>
      <c r="S10" s="140">
        <f>R10+Energiberegning[[#This Row],[Besparelse_m²]]*INDEX(Energiprognose[Fjernvarme],MATCH(Energiberegning!S$7,Energiprognose[År],0))</f>
        <v>7.5810167999999996</v>
      </c>
      <c r="T10" s="140">
        <f>S10+Energiberegning[[#This Row],[Besparelse_m²]]*INDEX(Energiprognose[Fjernvarme],MATCH(Energiberegning!T$7,Energiprognose[År],0))</f>
        <v>8.0370791999999991</v>
      </c>
      <c r="U10" s="140">
        <f>T10+Energiberegning[[#This Row],[Besparelse_m²]]*INDEX(Energiprognose[Fjernvarme],MATCH(Energiberegning!U$7,Energiprognose[År],0))</f>
        <v>8.4692303999999989</v>
      </c>
      <c r="V10" s="140">
        <f>U10+Energiberegning[[#This Row],[Besparelse_m²]]*INDEX(Energiprognose[Fjernvarme],MATCH(Energiberegning!V$7,Energiprognose[År],0))</f>
        <v>8.8774703999999982</v>
      </c>
      <c r="W10" s="140">
        <f>V10+Energiberegning[[#This Row],[Besparelse_m²]]*INDEX(Energiprognose[Fjernvarme],MATCH(Energiberegning!W$7,Energiprognose[År],0))</f>
        <v>9.282211199999999</v>
      </c>
      <c r="X10" s="140">
        <f>W10+Energiberegning[[#This Row],[Besparelse_m²]]*INDEX(Energiprognose[Fjernvarme],MATCH(Energiberegning!X$7,Energiprognose[År],0))</f>
        <v>9.6834527999999995</v>
      </c>
      <c r="Y10" s="140">
        <f>X10+Energiberegning[[#This Row],[Besparelse_m²]]*INDEX(Energiprognose[Fjernvarme],MATCH(Energiberegning!Y$7,Energiprognose[År],0))</f>
        <v>10.0811952</v>
      </c>
      <c r="Z10" s="140">
        <f>Y10+Energiberegning[[#This Row],[Besparelse_m²]]*INDEX(Energiprognose[Fjernvarme],MATCH(Energiberegning!Z$7,Energiprognose[År],0))</f>
        <v>10.4754384</v>
      </c>
      <c r="AA10" s="140">
        <f>Z10+Energiberegning[[#This Row],[Besparelse_m²]]*INDEX(Energiprognose[Fjernvarme],MATCH(Energiberegning!AA$7,Energiprognose[År],0))</f>
        <v>10.8661824</v>
      </c>
      <c r="AB10" s="140">
        <f>AA10+Energiberegning[[#This Row],[Besparelse_m²]]*INDEX(Energiprognose[Fjernvarme],MATCH(Energiberegning!AB$7,Energiprognose[År],0))</f>
        <v>11.25576</v>
      </c>
      <c r="AC10" s="140">
        <f>AB10+Energiberegning[[#This Row],[Besparelse_m²]]*INDEX(Energiprognose[Fjernvarme],MATCH(Energiberegning!AC$7,Energiprognose[År],0))</f>
        <v>11.644171200000001</v>
      </c>
      <c r="AD10" s="140">
        <f>AC10+Energiberegning[[#This Row],[Besparelse_m²]]*INDEX(Energiprognose[Fjernvarme],MATCH(Energiberegning!AD$7,Energiprognose[År],0))</f>
        <v>12.031416</v>
      </c>
      <c r="AE10" s="140">
        <f>AD10+Energiberegning[[#This Row],[Besparelse_m²]]*INDEX(Energiprognose[Fjernvarme],MATCH(Energiberegning!AE$7,Energiprognose[År],0))</f>
        <v>12.417494400000001</v>
      </c>
      <c r="AF10" s="140">
        <f>AE10+Energiberegning[[#This Row],[Besparelse_m²]]*INDEX(Energiprognose[Fjernvarme],MATCH(Energiberegning!AF$7,Energiprognose[År],0))</f>
        <v>12.802406400000001</v>
      </c>
      <c r="AG10" s="140">
        <f>AF10+Energiberegning[[#This Row],[Besparelse_m²]]*INDEX(Energiprognose[Fjernvarme],MATCH(Energiberegning!AG$7,Energiprognose[År],0))</f>
        <v>13.187318400000001</v>
      </c>
      <c r="AH10" s="140">
        <f>AG10+Energiberegning[[#This Row],[Besparelse_m²]]*INDEX(Energiprognose[Fjernvarme],MATCH(Energiberegning!AH$7,Energiprognose[År],0))</f>
        <v>13.5722304</v>
      </c>
      <c r="AI10" s="140">
        <f>AH10+Energiberegning[[#This Row],[Besparelse_m²]]*INDEX(Energiprognose[Fjernvarme],MATCH(Energiberegning!AI$7,Energiprognose[År],0))</f>
        <v>13.9571424</v>
      </c>
      <c r="AJ10" s="140">
        <f>AI10+Energiberegning[[#This Row],[Besparelse_m²]]*INDEX(Energiprognose[Fjernvarme],MATCH(Energiberegning!AJ$7,Energiprognose[År],0))</f>
        <v>14.3420544</v>
      </c>
      <c r="AK10" s="140">
        <f>AJ10+Energiberegning[[#This Row],[Besparelse_m²]]*INDEX(Energiprognose[Fjernvarme],MATCH(Energiberegning!AK$7,Energiprognose[År],0))</f>
        <v>14.7269664</v>
      </c>
      <c r="AL10" s="140">
        <f>AK10+Energiberegning[[#This Row],[Besparelse_m²]]*INDEX(Energiprognose[Fjernvarme],MATCH(Energiberegning!AL$7,Energiprognose[År],0))</f>
        <v>15.1118784</v>
      </c>
      <c r="AM10" s="140">
        <f>AL10+Energiberegning[[#This Row],[Besparelse_m²]]*INDEX(Energiprognose[Fjernvarme],MATCH(Energiberegning!AM$7,Energiprognose[År],0))</f>
        <v>15.4967904</v>
      </c>
      <c r="AN10" s="140">
        <f>AM10+Energiberegning[[#This Row],[Besparelse_m²]]*INDEX(Energiprognose[Fjernvarme],MATCH(Energiberegning!AN$7,Energiprognose[År],0))</f>
        <v>15.8817024</v>
      </c>
      <c r="AO10" s="140">
        <f>AN10+Energiberegning[[#This Row],[Besparelse_m²]]*INDEX(Energiprognose[Fjernvarme],MATCH(Energiberegning!AO$7,Energiprognose[År],0))</f>
        <v>16.266614400000002</v>
      </c>
      <c r="AP10" s="140">
        <f>AO10+Energiberegning[[#This Row],[Besparelse_m²]]*INDEX(Energiprognose[Fjernvarme],MATCH(Energiberegning!AP$7,Energiprognose[År],0))</f>
        <v>16.651526400000002</v>
      </c>
      <c r="AQ10" s="140">
        <f>AP10+Energiberegning[[#This Row],[Besparelse_m²]]*INDEX(Energiprognose[Fjernvarme],MATCH(Energiberegning!AQ$7,Energiprognose[År],0))</f>
        <v>17.036438400000002</v>
      </c>
      <c r="AR10" s="140">
        <f>AQ10+Energiberegning[[#This Row],[Besparelse_m²]]*INDEX(Energiprognose[Fjernvarme],MATCH(Energiberegning!AR$7,Energiprognose[År],0))</f>
        <v>17.421350400000001</v>
      </c>
      <c r="AS10" s="140">
        <f>AR10+Energiberegning[[#This Row],[Besparelse_m²]]*INDEX(Energiprognose[Fjernvarme],MATCH(Energiberegning!AS$7,Energiprognose[År],0))</f>
        <v>17.806262400000001</v>
      </c>
      <c r="AT10" s="140">
        <f>AS10+Energiberegning[[#This Row],[Besparelse_m²]]*INDEX(Energiprognose[Fjernvarme],MATCH(Energiberegning!AT$7,Energiprognose[År],0))</f>
        <v>18.191174400000001</v>
      </c>
      <c r="AU10" s="140">
        <f>AT10+Energiberegning[[#This Row],[Besparelse_m²]]*INDEX(Energiprognose[Fjernvarme],MATCH(Energiberegning!AU$7,Energiprognose[År],0))</f>
        <v>18.576086400000001</v>
      </c>
      <c r="AV10" s="140">
        <f>AU10+Energiberegning[[#This Row],[Besparelse_m²]]*INDEX(Energiprognose[Fjernvarme],MATCH(Energiberegning!AV$7,Energiprognose[År],0))</f>
        <v>18.960998400000001</v>
      </c>
      <c r="AW10" s="140">
        <f>AV10+Energiberegning[[#This Row],[Besparelse_m²]]*INDEX(Energiprognose[Fjernvarme],MATCH(Energiberegning!AW$7,Energiprognose[År],0))</f>
        <v>19.345910400000001</v>
      </c>
      <c r="AX10" s="140">
        <f>AW10+Energiberegning[[#This Row],[Besparelse_m²]]*INDEX(Energiprognose[Fjernvarme],MATCH(Energiberegning!AX$7,Energiprognose[År],0))</f>
        <v>19.730822400000001</v>
      </c>
      <c r="AY10" s="140">
        <f>AX10+Energiberegning[[#This Row],[Besparelse_m²]]*INDEX(Energiprognose[Fjernvarme],MATCH(Energiberegning!AY$7,Energiprognose[År],0))</f>
        <v>20.115734400000001</v>
      </c>
      <c r="AZ10" s="140">
        <f>AY10+Energiberegning[[#This Row],[Besparelse_m²]]*INDEX(Energiprognose[Fjernvarme],MATCH(Energiberegning!AZ$7,Energiprognose[År],0))</f>
        <v>20.500646400000001</v>
      </c>
      <c r="BA10" s="140">
        <f>AZ10+Energiberegning[[#This Row],[Besparelse_m²]]*INDEX(Energiprognose[Fjernvarme],MATCH(Energiberegning!BA$7,Energiprognose[År],0))</f>
        <v>20.885558400000001</v>
      </c>
      <c r="BB10" s="140">
        <f>BA10+Energiberegning[[#This Row],[Besparelse_m²]]*INDEX(Energiprognose[Fjernvarme],MATCH(Energiberegning!BB$7,Energiprognose[År],0))</f>
        <v>21.270470400000001</v>
      </c>
      <c r="BC10" s="140">
        <f>BB10+Energiberegning[[#This Row],[Besparelse_m²]]*INDEX(Energiprognose[Fjernvarme],MATCH(Energiberegning!BC$7,Energiprognose[År],0))</f>
        <v>21.655382400000001</v>
      </c>
      <c r="BD10" s="140">
        <f>BC10+Energiberegning[[#This Row],[Besparelse_m²]]*INDEX(Energiprognose[Fjernvarme],MATCH(Energiberegning!BD$7,Energiprognose[År],0))</f>
        <v>22.040294400000001</v>
      </c>
      <c r="BE10" s="140">
        <f>BD10+Energiberegning[[#This Row],[Besparelse_m²]]*INDEX(Energiprognose[Fjernvarme],MATCH(Energiberegning!BE$7,Energiprognose[År],0))</f>
        <v>22.4252064</v>
      </c>
      <c r="BF10" s="140">
        <f>BE10+Energiberegning[[#This Row],[Besparelse_m²]]*INDEX(Energiprognose[Fjernvarme],MATCH(Energiberegning!BF$7,Energiprognose[År],0))</f>
        <v>22.8101184</v>
      </c>
      <c r="BG10" s="140">
        <f>BF10+Energiberegning[[#This Row],[Besparelse_m²]]*INDEX(Energiprognose[Fjernvarme],MATCH(Energiberegning!BG$7,Energiprognose[År],0))</f>
        <v>23.1950304</v>
      </c>
      <c r="BH10" s="140">
        <f>BG10+Energiberegning[[#This Row],[Besparelse_m²]]*INDEX(Energiprognose[Fjernvarme],MATCH(Energiberegning!BH$7,Energiprognose[År],0))</f>
        <v>23.5799424</v>
      </c>
      <c r="BI10" s="140">
        <f>BH10+Energiberegning[[#This Row],[Besparelse_m²]]*INDEX(Energiprognose[Fjernvarme],MATCH(Energiberegning!BI$7,Energiprognose[År],0))</f>
        <v>23.9648544</v>
      </c>
      <c r="BJ10" s="140">
        <f>BI10+Energiberegning[[#This Row],[Besparelse_m²]]*INDEX(Energiprognose[Fjernvarme],MATCH(Energiberegning!BJ$7,Energiprognose[År],0))</f>
        <v>24.3497664</v>
      </c>
      <c r="BK10" s="140">
        <f>BJ10+Energiberegning[[#This Row],[Besparelse_m²]]*INDEX(Energiprognose[Fjernvarme],MATCH(Energiberegning!BK$7,Energiprognose[År],0))</f>
        <v>24.7346784</v>
      </c>
      <c r="BL10" s="140">
        <f>BK10+Energiberegning[[#This Row],[Besparelse_m²]]*INDEX(Energiprognose[Fjernvarme],MATCH(Energiberegning!BL$7,Energiprognose[År],0))</f>
        <v>25.1195904</v>
      </c>
      <c r="BM10" s="140">
        <f>BL10+Energiberegning[[#This Row],[Besparelse_m²]]*INDEX(Energiprognose[Fjernvarme],MATCH(Energiberegning!BM$7,Energiprognose[År],0))</f>
        <v>25.5045024</v>
      </c>
      <c r="BN10" s="140">
        <f>BM10+Energiberegning[[#This Row],[Besparelse_m²]]*INDEX(Energiprognose[Fjernvarme],MATCH(Energiberegning!BN$7,Energiprognose[År],0))</f>
        <v>25.8894144</v>
      </c>
      <c r="BO10" s="140">
        <f>BN10+Energiberegning[[#This Row],[Besparelse_m²]]*INDEX(Energiprognose[Fjernvarme],MATCH(Energiberegning!BO$7,Energiprognose[År],0))</f>
        <v>26.2743264</v>
      </c>
      <c r="BP10" s="140">
        <f>BO10+Energiberegning[[#This Row],[Besparelse_m²]]*INDEX(Energiprognose[Fjernvarme],MATCH(Energiberegning!BP$7,Energiprognose[År],0))</f>
        <v>26.6592384</v>
      </c>
      <c r="BQ10" s="140">
        <f>BP10+Energiberegning[[#This Row],[Besparelse_m²]]*INDEX(Energiprognose[Fjernvarme],MATCH(Energiberegning!BQ$7,Energiprognose[År],0))</f>
        <v>27.044150399999999</v>
      </c>
      <c r="BR10" s="140">
        <f>BQ10+Energiberegning[[#This Row],[Besparelse_m²]]*INDEX(Energiprognose[Fjernvarme],MATCH(Energiberegning!BR$7,Energiprognose[År],0))</f>
        <v>27.429062399999999</v>
      </c>
      <c r="BS10" s="140">
        <f>BR10+Energiberegning[[#This Row],[Besparelse_m²]]*INDEX(Energiprognose[Fjernvarme],MATCH(Energiberegning!BS$7,Energiprognose[År],0))</f>
        <v>27.813974399999999</v>
      </c>
      <c r="BT10" s="140">
        <f>BS10+Energiberegning[[#This Row],[Besparelse_m²]]*INDEX(Energiprognose[Fjernvarme],MATCH(Energiberegning!BT$7,Energiprognose[År],0))</f>
        <v>28.198886399999999</v>
      </c>
      <c r="BU10" s="140">
        <f>BT10+Energiberegning[[#This Row],[Besparelse_m²]]*INDEX(Energiprognose[Fjernvarme],MATCH(Energiberegning!BU$7,Energiprognose[År],0))</f>
        <v>28.583798399999999</v>
      </c>
      <c r="BV10" s="140">
        <f>BU10+Energiberegning[[#This Row],[Besparelse_m²]]*INDEX(Energiprognose[Fjernvarme],MATCH(Energiberegning!BV$7,Energiprognose[År],0))</f>
        <v>28.968710399999999</v>
      </c>
      <c r="BW10" s="140">
        <f>BV10+Energiberegning[[#This Row],[Besparelse_m²]]*INDEX(Energiprognose[Fjernvarme],MATCH(Energiberegning!BW$7,Energiprognose[År],0))</f>
        <v>29.353622399999999</v>
      </c>
      <c r="BX10" s="140">
        <f>BW10+Energiberegning[[#This Row],[Besparelse_m²]]*INDEX(Energiprognose[Fjernvarme],MATCH(Energiberegning!BX$7,Energiprognose[År],0))</f>
        <v>29.738534399999999</v>
      </c>
      <c r="BY10" s="140">
        <f>BX10+Energiberegning[[#This Row],[Besparelse_m²]]*INDEX(Energiprognose[Fjernvarme],MATCH(Energiberegning!BY$7,Energiprognose[År],0))</f>
        <v>30.123446399999999</v>
      </c>
      <c r="BZ10" s="140">
        <f>BY10+Energiberegning[[#This Row],[Besparelse_m²]]*INDEX(Energiprognose[Fjernvarme],MATCH(Energiberegning!BZ$7,Energiprognose[År],0))</f>
        <v>30.508358399999999</v>
      </c>
      <c r="CA10" s="140">
        <f>BZ10+Energiberegning[[#This Row],[Besparelse_m²]]*INDEX(Energiprognose[Fjernvarme],MATCH(Energiberegning!CA$7,Energiprognose[År],0))</f>
        <v>30.893270399999999</v>
      </c>
      <c r="CB10" s="140">
        <f>CA10+Energiberegning[[#This Row],[Besparelse_m²]]*INDEX(Energiprognose[Fjernvarme],MATCH(Energiberegning!CB$7,Energiprognose[År],0))</f>
        <v>31.278182399999999</v>
      </c>
      <c r="CC10" s="140">
        <f>CB10+Energiberegning[[#This Row],[Besparelse_m²]]*INDEX(Energiprognose[Fjernvarme],MATCH(Energiberegning!CC$7,Energiprognose[År],0))</f>
        <v>31.663094399999999</v>
      </c>
      <c r="CD10" s="140">
        <f>CC10+Energiberegning[[#This Row],[Besparelse_m²]]*INDEX(Energiprognose[Fjernvarme],MATCH(Energiberegning!CD$7,Energiprognose[År],0))</f>
        <v>32.048006399999998</v>
      </c>
      <c r="CE10" s="140">
        <f>CD10+Energiberegning[[#This Row],[Besparelse_m²]]*INDEX(Energiprognose[Fjernvarme],MATCH(Energiberegning!CE$7,Energiprognose[År],0))</f>
        <v>32.432918399999998</v>
      </c>
      <c r="CF10" s="140">
        <f>CE10+Energiberegning[[#This Row],[Besparelse_m²]]*INDEX(Energiprognose[Fjernvarme],MATCH(Energiberegning!CF$7,Energiprognose[År],0))</f>
        <v>32.817830399999998</v>
      </c>
      <c r="CG10" s="140">
        <f>CF10+Energiberegning[[#This Row],[Besparelse_m²]]*INDEX(Energiprognose[Fjernvarme],MATCH(Energiberegning!CG$7,Energiprognose[År],0))</f>
        <v>33.202742399999998</v>
      </c>
      <c r="CH10" s="140">
        <f>CG10+Energiberegning[[#This Row],[Besparelse_m²]]*INDEX(Energiprognose[Fjernvarme],MATCH(Energiberegning!CH$7,Energiprognose[År],0))</f>
        <v>33.587654399999998</v>
      </c>
      <c r="CI10" s="140">
        <f>CH10+Energiberegning[[#This Row],[Besparelse_m²]]*INDEX(Energiprognose[Fjernvarme],MATCH(Energiberegning!CI$7,Energiprognose[År],0))</f>
        <v>33.972566399999998</v>
      </c>
      <c r="CJ10" s="140">
        <f>CI10+Energiberegning[[#This Row],[Besparelse_m²]]*INDEX(Energiprognose[Fjernvarme],MATCH(Energiberegning!CJ$7,Energiprognose[År],0))</f>
        <v>34.357478399999998</v>
      </c>
      <c r="CK10" s="140">
        <f>CJ10+Energiberegning[[#This Row],[Besparelse_m²]]*INDEX(Energiprognose[Fjernvarme],MATCH(Energiberegning!CK$7,Energiprognose[År],0))</f>
        <v>34.742390399999998</v>
      </c>
      <c r="CL10" s="140">
        <f>CK10+Energiberegning[[#This Row],[Besparelse_m²]]*INDEX(Energiprognose[Fjernvarme],MATCH(Energiberegning!CL$7,Energiprognose[År],0))</f>
        <v>35.127302399999998</v>
      </c>
      <c r="CM10" s="140">
        <f>CL10+Energiberegning[[#This Row],[Besparelse_m²]]*INDEX(Energiprognose[Fjernvarme],MATCH(Energiberegning!CM$7,Energiprognose[År],0))</f>
        <v>35.512214399999998</v>
      </c>
      <c r="CN10" s="19"/>
    </row>
    <row r="11" spans="1:92">
      <c r="A11" t="s">
        <v>524</v>
      </c>
      <c r="B11" s="139">
        <f>_xlfn.NUMBERVALUE(LEFT(Energiberegning[[#This Row],[Ydervæg]],2))</f>
        <v>24</v>
      </c>
      <c r="C11">
        <v>100</v>
      </c>
      <c r="D11">
        <v>200</v>
      </c>
      <c r="E11">
        <f>Energiberegning[[#This Row],[Nuværende isolering]]+Energiberegning[[#This Row],[Efterisolering]]</f>
        <v>300</v>
      </c>
      <c r="G11">
        <v>0.12</v>
      </c>
      <c r="H11" s="120">
        <v>33120</v>
      </c>
      <c r="I11">
        <f>Energiberegning[[#This Row],[Besparelse_1000_m²]]/1000</f>
        <v>33.119999999999997</v>
      </c>
      <c r="J11" s="159">
        <v>0</v>
      </c>
      <c r="K11" s="152">
        <f>Energiberegning[[#This Row],[Besparelse_m²]]*INDEX(Energiprognose[Fjernvarme],MATCH(Energiberegning!K$7,Energiprognose[År],0))</f>
        <v>1.5414047999999998</v>
      </c>
      <c r="L11" s="140">
        <f>K11+Energiberegning[[#This Row],[Besparelse_m²]]*INDEX(Energiprognose[Fjernvarme],MATCH(Energiberegning!L$7,Energiprognose[År],0))</f>
        <v>2.9258207999999994</v>
      </c>
      <c r="M11" s="140">
        <f>L11+Energiberegning[[#This Row],[Besparelse_m²]]*INDEX(Energiprognose[Fjernvarme],MATCH(Energiberegning!M$7,Energiprognose[År],0))</f>
        <v>4.1532479999999996</v>
      </c>
      <c r="N11" s="140">
        <f>M11+Energiberegning[[#This Row],[Besparelse_m²]]*INDEX(Energiprognose[Fjernvarme],MATCH(Energiberegning!N$7,Energiprognose[År],0))</f>
        <v>5.2236863999999992</v>
      </c>
      <c r="O11" s="140">
        <f>N11+Energiberegning[[#This Row],[Besparelse_m²]]*INDEX(Energiprognose[Fjernvarme],MATCH(Energiberegning!O$7,Energiprognose[År],0))</f>
        <v>6.137135999999999</v>
      </c>
      <c r="P11" s="140">
        <f>O11+Energiberegning[[#This Row],[Besparelse_m²]]*INDEX(Energiprognose[Fjernvarme],MATCH(Energiberegning!P$7,Energiprognose[År],0))</f>
        <v>6.8935967999999992</v>
      </c>
      <c r="Q11" s="140">
        <f>P11+Energiberegning[[#This Row],[Besparelse_m²]]*INDEX(Energiprognose[Fjernvarme],MATCH(Energiberegning!Q$7,Energiprognose[År],0))</f>
        <v>7.4930687999999996</v>
      </c>
      <c r="R11" s="140">
        <f>Q11+Energiberegning[[#This Row],[Besparelse_m²]]*INDEX(Energiprognose[Fjernvarme],MATCH(Energiberegning!R$7,Energiprognose[År],0))</f>
        <v>8.065382399999999</v>
      </c>
      <c r="S11" s="140">
        <f>R11+Energiberegning[[#This Row],[Besparelse_m²]]*INDEX(Energiprognose[Fjernvarme],MATCH(Energiberegning!S$7,Energiprognose[År],0))</f>
        <v>8.6105375999999989</v>
      </c>
      <c r="T11" s="140">
        <f>S11+Energiberegning[[#This Row],[Besparelse_m²]]*INDEX(Energiprognose[Fjernvarme],MATCH(Energiberegning!T$7,Energiprognose[År],0))</f>
        <v>9.1285343999999995</v>
      </c>
      <c r="U11" s="140">
        <f>T11+Energiberegning[[#This Row],[Besparelse_m²]]*INDEX(Energiprognose[Fjernvarme],MATCH(Energiberegning!U$7,Energiprognose[År],0))</f>
        <v>9.6193727999999989</v>
      </c>
      <c r="V11" s="140">
        <f>U11+Energiberegning[[#This Row],[Besparelse_m²]]*INDEX(Energiprognose[Fjernvarme],MATCH(Energiberegning!V$7,Energiprognose[År],0))</f>
        <v>10.083052799999999</v>
      </c>
      <c r="W11" s="140">
        <f>V11+Energiberegning[[#This Row],[Besparelse_m²]]*INDEX(Energiprognose[Fjernvarme],MATCH(Energiberegning!W$7,Energiprognose[År],0))</f>
        <v>10.542758399999999</v>
      </c>
      <c r="X11" s="140">
        <f>W11+Energiberegning[[#This Row],[Besparelse_m²]]*INDEX(Energiprognose[Fjernvarme],MATCH(Energiberegning!X$7,Energiprognose[År],0))</f>
        <v>10.998489599999999</v>
      </c>
      <c r="Y11" s="140">
        <f>X11+Energiberegning[[#This Row],[Besparelse_m²]]*INDEX(Energiprognose[Fjernvarme],MATCH(Energiberegning!Y$7,Energiprognose[År],0))</f>
        <v>11.450246399999999</v>
      </c>
      <c r="Z11" s="140">
        <f>Y11+Energiberegning[[#This Row],[Besparelse_m²]]*INDEX(Energiprognose[Fjernvarme],MATCH(Energiberegning!Z$7,Energiprognose[År],0))</f>
        <v>11.898028799999999</v>
      </c>
      <c r="AA11" s="140">
        <f>Z11+Energiberegning[[#This Row],[Besparelse_m²]]*INDEX(Energiprognose[Fjernvarme],MATCH(Energiberegning!AA$7,Energiprognose[År],0))</f>
        <v>12.341836799999999</v>
      </c>
      <c r="AB11" s="140">
        <f>AA11+Energiberegning[[#This Row],[Besparelse_m²]]*INDEX(Energiprognose[Fjernvarme],MATCH(Energiberegning!AB$7,Energiprognose[År],0))</f>
        <v>12.784319999999999</v>
      </c>
      <c r="AC11" s="140">
        <f>AB11+Energiberegning[[#This Row],[Besparelse_m²]]*INDEX(Energiprognose[Fjernvarme],MATCH(Energiberegning!AC$7,Energiprognose[År],0))</f>
        <v>13.2254784</v>
      </c>
      <c r="AD11" s="140">
        <f>AC11+Energiberegning[[#This Row],[Besparelse_m²]]*INDEX(Energiprognose[Fjernvarme],MATCH(Energiberegning!AD$7,Energiprognose[År],0))</f>
        <v>13.665312</v>
      </c>
      <c r="AE11" s="140">
        <f>AD11+Energiberegning[[#This Row],[Besparelse_m²]]*INDEX(Energiprognose[Fjernvarme],MATCH(Energiberegning!AE$7,Energiprognose[År],0))</f>
        <v>14.103820799999999</v>
      </c>
      <c r="AF11" s="140">
        <f>AE11+Energiberegning[[#This Row],[Besparelse_m²]]*INDEX(Energiprognose[Fjernvarme],MATCH(Energiberegning!AF$7,Energiprognose[År],0))</f>
        <v>14.5410048</v>
      </c>
      <c r="AG11" s="140">
        <f>AF11+Energiberegning[[#This Row],[Besparelse_m²]]*INDEX(Energiprognose[Fjernvarme],MATCH(Energiberegning!AG$7,Energiprognose[År],0))</f>
        <v>14.9781888</v>
      </c>
      <c r="AH11" s="140">
        <f>AG11+Energiberegning[[#This Row],[Besparelse_m²]]*INDEX(Energiprognose[Fjernvarme],MATCH(Energiberegning!AH$7,Energiprognose[År],0))</f>
        <v>15.4153728</v>
      </c>
      <c r="AI11" s="140">
        <f>AH11+Energiberegning[[#This Row],[Besparelse_m²]]*INDEX(Energiprognose[Fjernvarme],MATCH(Energiberegning!AI$7,Energiprognose[År],0))</f>
        <v>15.8525568</v>
      </c>
      <c r="AJ11" s="140">
        <f>AI11+Energiberegning[[#This Row],[Besparelse_m²]]*INDEX(Energiprognose[Fjernvarme],MATCH(Energiberegning!AJ$7,Energiprognose[År],0))</f>
        <v>16.289740800000001</v>
      </c>
      <c r="AK11" s="140">
        <f>AJ11+Energiberegning[[#This Row],[Besparelse_m²]]*INDEX(Energiprognose[Fjernvarme],MATCH(Energiberegning!AK$7,Energiprognose[År],0))</f>
        <v>16.726924799999999</v>
      </c>
      <c r="AL11" s="140">
        <f>AK11+Energiberegning[[#This Row],[Besparelse_m²]]*INDEX(Energiprognose[Fjernvarme],MATCH(Energiberegning!AL$7,Energiprognose[År],0))</f>
        <v>17.164108799999998</v>
      </c>
      <c r="AM11" s="140">
        <f>AL11+Energiberegning[[#This Row],[Besparelse_m²]]*INDEX(Energiprognose[Fjernvarme],MATCH(Energiberegning!AM$7,Energiprognose[År],0))</f>
        <v>17.601292799999996</v>
      </c>
      <c r="AN11" s="140">
        <f>AM11+Energiberegning[[#This Row],[Besparelse_m²]]*INDEX(Energiprognose[Fjernvarme],MATCH(Energiberegning!AN$7,Energiprognose[År],0))</f>
        <v>18.038476799999994</v>
      </c>
      <c r="AO11" s="140">
        <f>AN11+Energiberegning[[#This Row],[Besparelse_m²]]*INDEX(Energiprognose[Fjernvarme],MATCH(Energiberegning!AO$7,Energiprognose[År],0))</f>
        <v>18.475660799999993</v>
      </c>
      <c r="AP11" s="140">
        <f>AO11+Energiberegning[[#This Row],[Besparelse_m²]]*INDEX(Energiprognose[Fjernvarme],MATCH(Energiberegning!AP$7,Energiprognose[År],0))</f>
        <v>18.912844799999991</v>
      </c>
      <c r="AQ11" s="140">
        <f>AP11+Energiberegning[[#This Row],[Besparelse_m²]]*INDEX(Energiprognose[Fjernvarme],MATCH(Energiberegning!AQ$7,Energiprognose[År],0))</f>
        <v>19.35002879999999</v>
      </c>
      <c r="AR11" s="140">
        <f>AQ11+Energiberegning[[#This Row],[Besparelse_m²]]*INDEX(Energiprognose[Fjernvarme],MATCH(Energiberegning!AR$7,Energiprognose[År],0))</f>
        <v>19.787212799999988</v>
      </c>
      <c r="AS11" s="140">
        <f>AR11+Energiberegning[[#This Row],[Besparelse_m²]]*INDEX(Energiprognose[Fjernvarme],MATCH(Energiberegning!AS$7,Energiprognose[År],0))</f>
        <v>20.224396799999987</v>
      </c>
      <c r="AT11" s="140">
        <f>AS11+Energiberegning[[#This Row],[Besparelse_m²]]*INDEX(Energiprognose[Fjernvarme],MATCH(Energiberegning!AT$7,Energiprognose[År],0))</f>
        <v>20.661580799999985</v>
      </c>
      <c r="AU11" s="140">
        <f>AT11+Energiberegning[[#This Row],[Besparelse_m²]]*INDEX(Energiprognose[Fjernvarme],MATCH(Energiberegning!AU$7,Energiprognose[År],0))</f>
        <v>21.098764799999984</v>
      </c>
      <c r="AV11" s="140">
        <f>AU11+Energiberegning[[#This Row],[Besparelse_m²]]*INDEX(Energiprognose[Fjernvarme],MATCH(Energiberegning!AV$7,Energiprognose[År],0))</f>
        <v>21.535948799999982</v>
      </c>
      <c r="AW11" s="140">
        <f>AV11+Energiberegning[[#This Row],[Besparelse_m²]]*INDEX(Energiprognose[Fjernvarme],MATCH(Energiberegning!AW$7,Energiprognose[År],0))</f>
        <v>21.973132799999981</v>
      </c>
      <c r="AX11" s="140">
        <f>AW11+Energiberegning[[#This Row],[Besparelse_m²]]*INDEX(Energiprognose[Fjernvarme],MATCH(Energiberegning!AX$7,Energiprognose[År],0))</f>
        <v>22.410316799999979</v>
      </c>
      <c r="AY11" s="140">
        <f>AX11+Energiberegning[[#This Row],[Besparelse_m²]]*INDEX(Energiprognose[Fjernvarme],MATCH(Energiberegning!AY$7,Energiprognose[År],0))</f>
        <v>22.847500799999978</v>
      </c>
      <c r="AZ11" s="140">
        <f>AY11+Energiberegning[[#This Row],[Besparelse_m²]]*INDEX(Energiprognose[Fjernvarme],MATCH(Energiberegning!AZ$7,Energiprognose[År],0))</f>
        <v>23.284684799999976</v>
      </c>
      <c r="BA11" s="140">
        <f>AZ11+Energiberegning[[#This Row],[Besparelse_m²]]*INDEX(Energiprognose[Fjernvarme],MATCH(Energiberegning!BA$7,Energiprognose[År],0))</f>
        <v>23.721868799999974</v>
      </c>
      <c r="BB11" s="140">
        <f>BA11+Energiberegning[[#This Row],[Besparelse_m²]]*INDEX(Energiprognose[Fjernvarme],MATCH(Energiberegning!BB$7,Energiprognose[År],0))</f>
        <v>24.159052799999973</v>
      </c>
      <c r="BC11" s="140">
        <f>BB11+Energiberegning[[#This Row],[Besparelse_m²]]*INDEX(Energiprognose[Fjernvarme],MATCH(Energiberegning!BC$7,Energiprognose[År],0))</f>
        <v>24.596236799999971</v>
      </c>
      <c r="BD11" s="140">
        <f>BC11+Energiberegning[[#This Row],[Besparelse_m²]]*INDEX(Energiprognose[Fjernvarme],MATCH(Energiberegning!BD$7,Energiprognose[År],0))</f>
        <v>25.03342079999997</v>
      </c>
      <c r="BE11" s="140">
        <f>BD11+Energiberegning[[#This Row],[Besparelse_m²]]*INDEX(Energiprognose[Fjernvarme],MATCH(Energiberegning!BE$7,Energiprognose[År],0))</f>
        <v>25.470604799999968</v>
      </c>
      <c r="BF11" s="140">
        <f>BE11+Energiberegning[[#This Row],[Besparelse_m²]]*INDEX(Energiprognose[Fjernvarme],MATCH(Energiberegning!BF$7,Energiprognose[År],0))</f>
        <v>25.907788799999967</v>
      </c>
      <c r="BG11" s="140">
        <f>BF11+Energiberegning[[#This Row],[Besparelse_m²]]*INDEX(Energiprognose[Fjernvarme],MATCH(Energiberegning!BG$7,Energiprognose[År],0))</f>
        <v>26.344972799999965</v>
      </c>
      <c r="BH11" s="140">
        <f>BG11+Energiberegning[[#This Row],[Besparelse_m²]]*INDEX(Energiprognose[Fjernvarme],MATCH(Energiberegning!BH$7,Energiprognose[År],0))</f>
        <v>26.782156799999964</v>
      </c>
      <c r="BI11" s="140">
        <f>BH11+Energiberegning[[#This Row],[Besparelse_m²]]*INDEX(Energiprognose[Fjernvarme],MATCH(Energiberegning!BI$7,Energiprognose[År],0))</f>
        <v>27.219340799999962</v>
      </c>
      <c r="BJ11" s="140">
        <f>BI11+Energiberegning[[#This Row],[Besparelse_m²]]*INDEX(Energiprognose[Fjernvarme],MATCH(Energiberegning!BJ$7,Energiprognose[År],0))</f>
        <v>27.656524799999961</v>
      </c>
      <c r="BK11" s="140">
        <f>BJ11+Energiberegning[[#This Row],[Besparelse_m²]]*INDEX(Energiprognose[Fjernvarme],MATCH(Energiberegning!BK$7,Energiprognose[År],0))</f>
        <v>28.093708799999959</v>
      </c>
      <c r="BL11" s="140">
        <f>BK11+Energiberegning[[#This Row],[Besparelse_m²]]*INDEX(Energiprognose[Fjernvarme],MATCH(Energiberegning!BL$7,Energiprognose[År],0))</f>
        <v>28.530892799999958</v>
      </c>
      <c r="BM11" s="140">
        <f>BL11+Energiberegning[[#This Row],[Besparelse_m²]]*INDEX(Energiprognose[Fjernvarme],MATCH(Energiberegning!BM$7,Energiprognose[År],0))</f>
        <v>28.968076799999956</v>
      </c>
      <c r="BN11" s="140">
        <f>BM11+Energiberegning[[#This Row],[Besparelse_m²]]*INDEX(Energiprognose[Fjernvarme],MATCH(Energiberegning!BN$7,Energiprognose[År],0))</f>
        <v>29.405260799999954</v>
      </c>
      <c r="BO11" s="140">
        <f>BN11+Energiberegning[[#This Row],[Besparelse_m²]]*INDEX(Energiprognose[Fjernvarme],MATCH(Energiberegning!BO$7,Energiprognose[År],0))</f>
        <v>29.842444799999953</v>
      </c>
      <c r="BP11" s="140">
        <f>BO11+Energiberegning[[#This Row],[Besparelse_m²]]*INDEX(Energiprognose[Fjernvarme],MATCH(Energiberegning!BP$7,Energiprognose[År],0))</f>
        <v>30.279628799999951</v>
      </c>
      <c r="BQ11" s="140">
        <f>BP11+Energiberegning[[#This Row],[Besparelse_m²]]*INDEX(Energiprognose[Fjernvarme],MATCH(Energiberegning!BQ$7,Energiprognose[År],0))</f>
        <v>30.71681279999995</v>
      </c>
      <c r="BR11" s="140">
        <f>BQ11+Energiberegning[[#This Row],[Besparelse_m²]]*INDEX(Energiprognose[Fjernvarme],MATCH(Energiberegning!BR$7,Energiprognose[År],0))</f>
        <v>31.153996799999948</v>
      </c>
      <c r="BS11" s="140">
        <f>BR11+Energiberegning[[#This Row],[Besparelse_m²]]*INDEX(Energiprognose[Fjernvarme],MATCH(Energiberegning!BS$7,Energiprognose[År],0))</f>
        <v>31.591180799999947</v>
      </c>
      <c r="BT11" s="140">
        <f>BS11+Energiberegning[[#This Row],[Besparelse_m²]]*INDEX(Energiprognose[Fjernvarme],MATCH(Energiberegning!BT$7,Energiprognose[År],0))</f>
        <v>32.028364799999949</v>
      </c>
      <c r="BU11" s="140">
        <f>BT11+Energiberegning[[#This Row],[Besparelse_m²]]*INDEX(Energiprognose[Fjernvarme],MATCH(Energiberegning!BU$7,Energiprognose[År],0))</f>
        <v>32.465548799999951</v>
      </c>
      <c r="BV11" s="140">
        <f>BU11+Energiberegning[[#This Row],[Besparelse_m²]]*INDEX(Energiprognose[Fjernvarme],MATCH(Energiberegning!BV$7,Energiprognose[År],0))</f>
        <v>32.902732799999953</v>
      </c>
      <c r="BW11" s="140">
        <f>BV11+Energiberegning[[#This Row],[Besparelse_m²]]*INDEX(Energiprognose[Fjernvarme],MATCH(Energiberegning!BW$7,Energiprognose[År],0))</f>
        <v>33.339916799999955</v>
      </c>
      <c r="BX11" s="140">
        <f>BW11+Energiberegning[[#This Row],[Besparelse_m²]]*INDEX(Energiprognose[Fjernvarme],MATCH(Energiberegning!BX$7,Energiprognose[År],0))</f>
        <v>33.777100799999957</v>
      </c>
      <c r="BY11" s="140">
        <f>BX11+Energiberegning[[#This Row],[Besparelse_m²]]*INDEX(Energiprognose[Fjernvarme],MATCH(Energiberegning!BY$7,Energiprognose[År],0))</f>
        <v>34.214284799999959</v>
      </c>
      <c r="BZ11" s="140">
        <f>BY11+Energiberegning[[#This Row],[Besparelse_m²]]*INDEX(Energiprognose[Fjernvarme],MATCH(Energiberegning!BZ$7,Energiprognose[År],0))</f>
        <v>34.651468799999961</v>
      </c>
      <c r="CA11" s="140">
        <f>BZ11+Energiberegning[[#This Row],[Besparelse_m²]]*INDEX(Energiprognose[Fjernvarme],MATCH(Energiberegning!CA$7,Energiprognose[År],0))</f>
        <v>35.088652799999963</v>
      </c>
      <c r="CB11" s="140">
        <f>CA11+Energiberegning[[#This Row],[Besparelse_m²]]*INDEX(Energiprognose[Fjernvarme],MATCH(Energiberegning!CB$7,Energiprognose[År],0))</f>
        <v>35.525836799999965</v>
      </c>
      <c r="CC11" s="140">
        <f>CB11+Energiberegning[[#This Row],[Besparelse_m²]]*INDEX(Energiprognose[Fjernvarme],MATCH(Energiberegning!CC$7,Energiprognose[År],0))</f>
        <v>35.963020799999967</v>
      </c>
      <c r="CD11" s="140">
        <f>CC11+Energiberegning[[#This Row],[Besparelse_m²]]*INDEX(Energiprognose[Fjernvarme],MATCH(Energiberegning!CD$7,Energiprognose[År],0))</f>
        <v>36.400204799999969</v>
      </c>
      <c r="CE11" s="140">
        <f>CD11+Energiberegning[[#This Row],[Besparelse_m²]]*INDEX(Energiprognose[Fjernvarme],MATCH(Energiberegning!CE$7,Energiprognose[År],0))</f>
        <v>36.837388799999971</v>
      </c>
      <c r="CF11" s="140">
        <f>CE11+Energiberegning[[#This Row],[Besparelse_m²]]*INDEX(Energiprognose[Fjernvarme],MATCH(Energiberegning!CF$7,Energiprognose[År],0))</f>
        <v>37.274572799999973</v>
      </c>
      <c r="CG11" s="140">
        <f>CF11+Energiberegning[[#This Row],[Besparelse_m²]]*INDEX(Energiprognose[Fjernvarme],MATCH(Energiberegning!CG$7,Energiprognose[År],0))</f>
        <v>37.711756799999975</v>
      </c>
      <c r="CH11" s="140">
        <f>CG11+Energiberegning[[#This Row],[Besparelse_m²]]*INDEX(Energiprognose[Fjernvarme],MATCH(Energiberegning!CH$7,Energiprognose[År],0))</f>
        <v>38.148940799999977</v>
      </c>
      <c r="CI11" s="140">
        <f>CH11+Energiberegning[[#This Row],[Besparelse_m²]]*INDEX(Energiprognose[Fjernvarme],MATCH(Energiberegning!CI$7,Energiprognose[År],0))</f>
        <v>38.586124799999979</v>
      </c>
      <c r="CJ11" s="140">
        <f>CI11+Energiberegning[[#This Row],[Besparelse_m²]]*INDEX(Energiprognose[Fjernvarme],MATCH(Energiberegning!CJ$7,Energiprognose[År],0))</f>
        <v>39.023308799999981</v>
      </c>
      <c r="CK11" s="140">
        <f>CJ11+Energiberegning[[#This Row],[Besparelse_m²]]*INDEX(Energiprognose[Fjernvarme],MATCH(Energiberegning!CK$7,Energiprognose[År],0))</f>
        <v>39.460492799999983</v>
      </c>
      <c r="CL11" s="140">
        <f>CK11+Energiberegning[[#This Row],[Besparelse_m²]]*INDEX(Energiprognose[Fjernvarme],MATCH(Energiberegning!CL$7,Energiprognose[År],0))</f>
        <v>39.897676799999985</v>
      </c>
      <c r="CM11" s="140">
        <f>CL11+Energiberegning[[#This Row],[Besparelse_m²]]*INDEX(Energiprognose[Fjernvarme],MATCH(Energiberegning!CM$7,Energiprognose[År],0))</f>
        <v>40.334860799999987</v>
      </c>
      <c r="CN11" s="19"/>
    </row>
    <row r="12" spans="1:92">
      <c r="A12" t="s">
        <v>535</v>
      </c>
      <c r="B12" s="139">
        <f>_xlfn.NUMBERVALUE(LEFT(Energiberegning[[#This Row],[Ydervæg]],2))</f>
        <v>36</v>
      </c>
      <c r="C12">
        <v>0</v>
      </c>
      <c r="D12">
        <v>200</v>
      </c>
      <c r="E12">
        <f>Energiberegning[[#This Row],[Nuværende isolering]]+Energiberegning[[#This Row],[Efterisolering]]</f>
        <v>200</v>
      </c>
      <c r="F12">
        <v>1.48</v>
      </c>
      <c r="G12">
        <v>0.16</v>
      </c>
      <c r="H12" s="120">
        <v>129240</v>
      </c>
      <c r="I12">
        <f>Energiberegning[[#This Row],[Besparelse_1000_m²]]/1000</f>
        <v>129.24</v>
      </c>
      <c r="J12" s="159">
        <v>0</v>
      </c>
      <c r="K12" s="152">
        <f>Energiberegning[[#This Row],[Besparelse_m²]]*INDEX(Energiprognose[Fjernvarme],MATCH(Energiberegning!K$7,Energiprognose[År],0))</f>
        <v>6.0148296000000006</v>
      </c>
      <c r="L12" s="140">
        <f>K12+Energiberegning[[#This Row],[Besparelse_m²]]*INDEX(Energiprognose[Fjernvarme],MATCH(Energiberegning!L$7,Energiprognose[År],0))</f>
        <v>11.4170616</v>
      </c>
      <c r="M12" s="140">
        <f>L12+Energiberegning[[#This Row],[Besparelse_m²]]*INDEX(Energiprognose[Fjernvarme],MATCH(Energiberegning!M$7,Energiprognose[År],0))</f>
        <v>16.206696000000001</v>
      </c>
      <c r="N12" s="140">
        <f>M12+Energiberegning[[#This Row],[Besparelse_m²]]*INDEX(Energiprognose[Fjernvarme],MATCH(Energiberegning!N$7,Energiprognose[År],0))</f>
        <v>20.383732800000001</v>
      </c>
      <c r="O12" s="140">
        <f>N12+Energiberegning[[#This Row],[Besparelse_m²]]*INDEX(Energiprognose[Fjernvarme],MATCH(Energiberegning!O$7,Energiprognose[År],0))</f>
        <v>23.948172</v>
      </c>
      <c r="P12" s="140">
        <f>O12+Energiberegning[[#This Row],[Besparelse_m²]]*INDEX(Energiprognose[Fjernvarme],MATCH(Energiberegning!P$7,Energiprognose[År],0))</f>
        <v>26.900013599999998</v>
      </c>
      <c r="Q12" s="140">
        <f>P12+Energiberegning[[#This Row],[Besparelse_m²]]*INDEX(Energiprognose[Fjernvarme],MATCH(Energiberegning!Q$7,Energiprognose[År],0))</f>
        <v>29.239257599999998</v>
      </c>
      <c r="R12" s="140">
        <f>Q12+Energiberegning[[#This Row],[Besparelse_m²]]*INDEX(Energiprognose[Fjernvarme],MATCH(Energiberegning!R$7,Energiprognose[År],0))</f>
        <v>31.472524799999999</v>
      </c>
      <c r="S12" s="140">
        <f>R12+Energiberegning[[#This Row],[Besparelse_m²]]*INDEX(Energiprognose[Fjernvarme],MATCH(Energiberegning!S$7,Energiprognose[År],0))</f>
        <v>33.599815200000002</v>
      </c>
      <c r="T12" s="140">
        <f>S12+Energiberegning[[#This Row],[Besparelse_m²]]*INDEX(Energiprognose[Fjernvarme],MATCH(Energiberegning!T$7,Energiprognose[År],0))</f>
        <v>35.621128800000001</v>
      </c>
      <c r="U12" s="140">
        <f>T12+Energiberegning[[#This Row],[Besparelse_m²]]*INDEX(Energiprognose[Fjernvarme],MATCH(Energiberegning!U$7,Energiprognose[År],0))</f>
        <v>37.5364656</v>
      </c>
      <c r="V12" s="140">
        <f>U12+Energiberegning[[#This Row],[Besparelse_m²]]*INDEX(Energiprognose[Fjernvarme],MATCH(Energiberegning!V$7,Energiprognose[År],0))</f>
        <v>39.345825599999998</v>
      </c>
      <c r="W12" s="140">
        <f>V12+Energiberegning[[#This Row],[Besparelse_m²]]*INDEX(Energiprognose[Fjernvarme],MATCH(Energiberegning!W$7,Energiprognose[År],0))</f>
        <v>41.139676799999997</v>
      </c>
      <c r="X12" s="140">
        <f>W12+Energiberegning[[#This Row],[Besparelse_m²]]*INDEX(Energiprognose[Fjernvarme],MATCH(Energiberegning!X$7,Energiprognose[År],0))</f>
        <v>42.918019199999996</v>
      </c>
      <c r="Y12" s="140">
        <f>X12+Energiberegning[[#This Row],[Besparelse_m²]]*INDEX(Energiprognose[Fjernvarme],MATCH(Energiberegning!Y$7,Energiprognose[År],0))</f>
        <v>44.680852799999997</v>
      </c>
      <c r="Z12" s="140">
        <f>Y12+Energiberegning[[#This Row],[Besparelse_m²]]*INDEX(Energiprognose[Fjernvarme],MATCH(Energiberegning!Z$7,Energiprognose[År],0))</f>
        <v>46.428177599999998</v>
      </c>
      <c r="AA12" s="140">
        <f>Z12+Energiberegning[[#This Row],[Besparelse_m²]]*INDEX(Energiprognose[Fjernvarme],MATCH(Energiberegning!AA$7,Energiprognose[År],0))</f>
        <v>48.1599936</v>
      </c>
      <c r="AB12" s="140">
        <f>AA12+Energiberegning[[#This Row],[Besparelse_m²]]*INDEX(Energiprognose[Fjernvarme],MATCH(Energiberegning!AB$7,Energiprognose[År],0))</f>
        <v>49.88664</v>
      </c>
      <c r="AC12" s="140">
        <f>AB12+Energiberegning[[#This Row],[Besparelse_m²]]*INDEX(Energiprognose[Fjernvarme],MATCH(Energiberegning!AC$7,Energiprognose[År],0))</f>
        <v>51.608116799999998</v>
      </c>
      <c r="AD12" s="140">
        <f>AC12+Energiberegning[[#This Row],[Besparelse_m²]]*INDEX(Energiprognose[Fjernvarme],MATCH(Energiberegning!AD$7,Energiprognose[År],0))</f>
        <v>53.324424</v>
      </c>
      <c r="AE12" s="140">
        <f>AD12+Energiberegning[[#This Row],[Besparelse_m²]]*INDEX(Energiprognose[Fjernvarme],MATCH(Energiberegning!AE$7,Energiprognose[År],0))</f>
        <v>55.035561600000001</v>
      </c>
      <c r="AF12" s="140">
        <f>AE12+Energiberegning[[#This Row],[Besparelse_m²]]*INDEX(Energiprognose[Fjernvarme],MATCH(Energiberegning!AF$7,Energiprognose[År],0))</f>
        <v>56.7415296</v>
      </c>
      <c r="AG12" s="140">
        <f>AF12+Energiberegning[[#This Row],[Besparelse_m²]]*INDEX(Energiprognose[Fjernvarme],MATCH(Energiberegning!AG$7,Energiprognose[År],0))</f>
        <v>58.447497599999998</v>
      </c>
      <c r="AH12" s="140">
        <f>AG12+Energiberegning[[#This Row],[Besparelse_m²]]*INDEX(Energiprognose[Fjernvarme],MATCH(Energiberegning!AH$7,Energiprognose[År],0))</f>
        <v>60.153465599999997</v>
      </c>
      <c r="AI12" s="140">
        <f>AH12+Energiberegning[[#This Row],[Besparelse_m²]]*INDEX(Energiprognose[Fjernvarme],MATCH(Energiberegning!AI$7,Energiprognose[År],0))</f>
        <v>61.859433599999996</v>
      </c>
      <c r="AJ12" s="140">
        <f>AI12+Energiberegning[[#This Row],[Besparelse_m²]]*INDEX(Energiprognose[Fjernvarme],MATCH(Energiberegning!AJ$7,Energiprognose[År],0))</f>
        <v>63.565401599999994</v>
      </c>
      <c r="AK12" s="140">
        <f>AJ12+Energiberegning[[#This Row],[Besparelse_m²]]*INDEX(Energiprognose[Fjernvarme],MATCH(Energiberegning!AK$7,Energiprognose[År],0))</f>
        <v>65.2713696</v>
      </c>
      <c r="AL12" s="140">
        <f>AK12+Energiberegning[[#This Row],[Besparelse_m²]]*INDEX(Energiprognose[Fjernvarme],MATCH(Energiberegning!AL$7,Energiprognose[År],0))</f>
        <v>66.977337599999998</v>
      </c>
      <c r="AM12" s="140">
        <f>AL12+Energiberegning[[#This Row],[Besparelse_m²]]*INDEX(Energiprognose[Fjernvarme],MATCH(Energiberegning!AM$7,Energiprognose[År],0))</f>
        <v>68.683305599999997</v>
      </c>
      <c r="AN12" s="140">
        <f>AM12+Energiberegning[[#This Row],[Besparelse_m²]]*INDEX(Energiprognose[Fjernvarme],MATCH(Energiberegning!AN$7,Energiprognose[År],0))</f>
        <v>70.389273599999996</v>
      </c>
      <c r="AO12" s="140">
        <f>AN12+Energiberegning[[#This Row],[Besparelse_m²]]*INDEX(Energiprognose[Fjernvarme],MATCH(Energiberegning!AO$7,Energiprognose[År],0))</f>
        <v>72.095241599999994</v>
      </c>
      <c r="AP12" s="140">
        <f>AO12+Energiberegning[[#This Row],[Besparelse_m²]]*INDEX(Energiprognose[Fjernvarme],MATCH(Energiberegning!AP$7,Energiprognose[År],0))</f>
        <v>73.801209599999993</v>
      </c>
      <c r="AQ12" s="140">
        <f>AP12+Energiberegning[[#This Row],[Besparelse_m²]]*INDEX(Energiprognose[Fjernvarme],MATCH(Energiberegning!AQ$7,Energiprognose[År],0))</f>
        <v>75.507177599999991</v>
      </c>
      <c r="AR12" s="140">
        <f>AQ12+Energiberegning[[#This Row],[Besparelse_m²]]*INDEX(Energiprognose[Fjernvarme],MATCH(Energiberegning!AR$7,Energiprognose[År],0))</f>
        <v>77.21314559999999</v>
      </c>
      <c r="AS12" s="140">
        <f>AR12+Energiberegning[[#This Row],[Besparelse_m²]]*INDEX(Energiprognose[Fjernvarme],MATCH(Energiberegning!AS$7,Energiprognose[År],0))</f>
        <v>78.919113599999989</v>
      </c>
      <c r="AT12" s="140">
        <f>AS12+Energiberegning[[#This Row],[Besparelse_m²]]*INDEX(Energiprognose[Fjernvarme],MATCH(Energiberegning!AT$7,Energiprognose[År],0))</f>
        <v>80.625081599999987</v>
      </c>
      <c r="AU12" s="140">
        <f>AT12+Energiberegning[[#This Row],[Besparelse_m²]]*INDEX(Energiprognose[Fjernvarme],MATCH(Energiberegning!AU$7,Energiprognose[År],0))</f>
        <v>82.331049599999986</v>
      </c>
      <c r="AV12" s="140">
        <f>AU12+Energiberegning[[#This Row],[Besparelse_m²]]*INDEX(Energiprognose[Fjernvarme],MATCH(Energiberegning!AV$7,Energiprognose[År],0))</f>
        <v>84.037017599999984</v>
      </c>
      <c r="AW12" s="140">
        <f>AV12+Energiberegning[[#This Row],[Besparelse_m²]]*INDEX(Energiprognose[Fjernvarme],MATCH(Energiberegning!AW$7,Energiprognose[År],0))</f>
        <v>85.742985599999983</v>
      </c>
      <c r="AX12" s="140">
        <f>AW12+Energiberegning[[#This Row],[Besparelse_m²]]*INDEX(Energiprognose[Fjernvarme],MATCH(Energiberegning!AX$7,Energiprognose[År],0))</f>
        <v>87.448953599999982</v>
      </c>
      <c r="AY12" s="140">
        <f>AX12+Energiberegning[[#This Row],[Besparelse_m²]]*INDEX(Energiprognose[Fjernvarme],MATCH(Energiberegning!AY$7,Energiprognose[År],0))</f>
        <v>89.15492159999998</v>
      </c>
      <c r="AZ12" s="140">
        <f>AY12+Energiberegning[[#This Row],[Besparelse_m²]]*INDEX(Energiprognose[Fjernvarme],MATCH(Energiberegning!AZ$7,Energiprognose[År],0))</f>
        <v>90.860889599999979</v>
      </c>
      <c r="BA12" s="140">
        <f>AZ12+Energiberegning[[#This Row],[Besparelse_m²]]*INDEX(Energiprognose[Fjernvarme],MATCH(Energiberegning!BA$7,Energiprognose[År],0))</f>
        <v>92.566857599999977</v>
      </c>
      <c r="BB12" s="140">
        <f>BA12+Energiberegning[[#This Row],[Besparelse_m²]]*INDEX(Energiprognose[Fjernvarme],MATCH(Energiberegning!BB$7,Energiprognose[År],0))</f>
        <v>94.272825599999976</v>
      </c>
      <c r="BC12" s="140">
        <f>BB12+Energiberegning[[#This Row],[Besparelse_m²]]*INDEX(Energiprognose[Fjernvarme],MATCH(Energiberegning!BC$7,Energiprognose[År],0))</f>
        <v>95.978793599999975</v>
      </c>
      <c r="BD12" s="140">
        <f>BC12+Energiberegning[[#This Row],[Besparelse_m²]]*INDEX(Energiprognose[Fjernvarme],MATCH(Energiberegning!BD$7,Energiprognose[År],0))</f>
        <v>97.684761599999973</v>
      </c>
      <c r="BE12" s="140">
        <f>BD12+Energiberegning[[#This Row],[Besparelse_m²]]*INDEX(Energiprognose[Fjernvarme],MATCH(Energiberegning!BE$7,Energiprognose[År],0))</f>
        <v>99.390729599999972</v>
      </c>
      <c r="BF12" s="140">
        <f>BE12+Energiberegning[[#This Row],[Besparelse_m²]]*INDEX(Energiprognose[Fjernvarme],MATCH(Energiberegning!BF$7,Energiprognose[År],0))</f>
        <v>101.09669759999997</v>
      </c>
      <c r="BG12" s="140">
        <f>BF12+Energiberegning[[#This Row],[Besparelse_m²]]*INDEX(Energiprognose[Fjernvarme],MATCH(Energiberegning!BG$7,Energiprognose[År],0))</f>
        <v>102.80266559999997</v>
      </c>
      <c r="BH12" s="140">
        <f>BG12+Energiberegning[[#This Row],[Besparelse_m²]]*INDEX(Energiprognose[Fjernvarme],MATCH(Energiberegning!BH$7,Energiprognose[År],0))</f>
        <v>104.50863359999997</v>
      </c>
      <c r="BI12" s="140">
        <f>BH12+Energiberegning[[#This Row],[Besparelse_m²]]*INDEX(Energiprognose[Fjernvarme],MATCH(Energiberegning!BI$7,Energiprognose[År],0))</f>
        <v>106.21460159999997</v>
      </c>
      <c r="BJ12" s="140">
        <f>BI12+Energiberegning[[#This Row],[Besparelse_m²]]*INDEX(Energiprognose[Fjernvarme],MATCH(Energiberegning!BJ$7,Energiprognose[År],0))</f>
        <v>107.92056959999996</v>
      </c>
      <c r="BK12" s="140">
        <f>BJ12+Energiberegning[[#This Row],[Besparelse_m²]]*INDEX(Energiprognose[Fjernvarme],MATCH(Energiberegning!BK$7,Energiprognose[År],0))</f>
        <v>109.62653759999996</v>
      </c>
      <c r="BL12" s="140">
        <f>BK12+Energiberegning[[#This Row],[Besparelse_m²]]*INDEX(Energiprognose[Fjernvarme],MATCH(Energiberegning!BL$7,Energiprognose[År],0))</f>
        <v>111.33250559999996</v>
      </c>
      <c r="BM12" s="140">
        <f>BL12+Energiberegning[[#This Row],[Besparelse_m²]]*INDEX(Energiprognose[Fjernvarme],MATCH(Energiberegning!BM$7,Energiprognose[År],0))</f>
        <v>113.03847359999996</v>
      </c>
      <c r="BN12" s="140">
        <f>BM12+Energiberegning[[#This Row],[Besparelse_m²]]*INDEX(Energiprognose[Fjernvarme],MATCH(Energiberegning!BN$7,Energiprognose[År],0))</f>
        <v>114.74444159999996</v>
      </c>
      <c r="BO12" s="140">
        <f>BN12+Energiberegning[[#This Row],[Besparelse_m²]]*INDEX(Energiprognose[Fjernvarme],MATCH(Energiberegning!BO$7,Energiprognose[År],0))</f>
        <v>116.45040959999996</v>
      </c>
      <c r="BP12" s="140">
        <f>BO12+Energiberegning[[#This Row],[Besparelse_m²]]*INDEX(Energiprognose[Fjernvarme],MATCH(Energiberegning!BP$7,Energiprognose[År],0))</f>
        <v>118.15637759999996</v>
      </c>
      <c r="BQ12" s="140">
        <f>BP12+Energiberegning[[#This Row],[Besparelse_m²]]*INDEX(Energiprognose[Fjernvarme],MATCH(Energiberegning!BQ$7,Energiprognose[År],0))</f>
        <v>119.86234559999995</v>
      </c>
      <c r="BR12" s="140">
        <f>BQ12+Energiberegning[[#This Row],[Besparelse_m²]]*INDEX(Energiprognose[Fjernvarme],MATCH(Energiberegning!BR$7,Energiprognose[År],0))</f>
        <v>121.56831359999995</v>
      </c>
      <c r="BS12" s="140">
        <f>BR12+Energiberegning[[#This Row],[Besparelse_m²]]*INDEX(Energiprognose[Fjernvarme],MATCH(Energiberegning!BS$7,Energiprognose[År],0))</f>
        <v>123.27428159999995</v>
      </c>
      <c r="BT12" s="140">
        <f>BS12+Energiberegning[[#This Row],[Besparelse_m²]]*INDEX(Energiprognose[Fjernvarme],MATCH(Energiberegning!BT$7,Energiprognose[År],0))</f>
        <v>124.98024959999995</v>
      </c>
      <c r="BU12" s="140">
        <f>BT12+Energiberegning[[#This Row],[Besparelse_m²]]*INDEX(Energiprognose[Fjernvarme],MATCH(Energiberegning!BU$7,Energiprognose[År],0))</f>
        <v>126.68621759999995</v>
      </c>
      <c r="BV12" s="140">
        <f>BU12+Energiberegning[[#This Row],[Besparelse_m²]]*INDEX(Energiprognose[Fjernvarme],MATCH(Energiberegning!BV$7,Energiprognose[År],0))</f>
        <v>128.39218559999995</v>
      </c>
      <c r="BW12" s="140">
        <f>BV12+Energiberegning[[#This Row],[Besparelse_m²]]*INDEX(Energiprognose[Fjernvarme],MATCH(Energiberegning!BW$7,Energiprognose[År],0))</f>
        <v>130.09815359999996</v>
      </c>
      <c r="BX12" s="140">
        <f>BW12+Energiberegning[[#This Row],[Besparelse_m²]]*INDEX(Energiprognose[Fjernvarme],MATCH(Energiberegning!BX$7,Energiprognose[År],0))</f>
        <v>131.80412159999997</v>
      </c>
      <c r="BY12" s="140">
        <f>BX12+Energiberegning[[#This Row],[Besparelse_m²]]*INDEX(Energiprognose[Fjernvarme],MATCH(Energiberegning!BY$7,Energiprognose[År],0))</f>
        <v>133.51008959999999</v>
      </c>
      <c r="BZ12" s="140">
        <f>BY12+Energiberegning[[#This Row],[Besparelse_m²]]*INDEX(Energiprognose[Fjernvarme],MATCH(Energiberegning!BZ$7,Energiprognose[År],0))</f>
        <v>135.2160576</v>
      </c>
      <c r="CA12" s="140">
        <f>BZ12+Energiberegning[[#This Row],[Besparelse_m²]]*INDEX(Energiprognose[Fjernvarme],MATCH(Energiberegning!CA$7,Energiprognose[År],0))</f>
        <v>136.92202560000001</v>
      </c>
      <c r="CB12" s="140">
        <f>CA12+Energiberegning[[#This Row],[Besparelse_m²]]*INDEX(Energiprognose[Fjernvarme],MATCH(Energiberegning!CB$7,Energiprognose[År],0))</f>
        <v>138.62799360000002</v>
      </c>
      <c r="CC12" s="140">
        <f>CB12+Energiberegning[[#This Row],[Besparelse_m²]]*INDEX(Energiprognose[Fjernvarme],MATCH(Energiberegning!CC$7,Energiprognose[År],0))</f>
        <v>140.33396160000004</v>
      </c>
      <c r="CD12" s="140">
        <f>CC12+Energiberegning[[#This Row],[Besparelse_m²]]*INDEX(Energiprognose[Fjernvarme],MATCH(Energiberegning!CD$7,Energiprognose[År],0))</f>
        <v>142.03992960000005</v>
      </c>
      <c r="CE12" s="140">
        <f>CD12+Energiberegning[[#This Row],[Besparelse_m²]]*INDEX(Energiprognose[Fjernvarme],MATCH(Energiberegning!CE$7,Energiprognose[År],0))</f>
        <v>143.74589760000006</v>
      </c>
      <c r="CF12" s="140">
        <f>CE12+Energiberegning[[#This Row],[Besparelse_m²]]*INDEX(Energiprognose[Fjernvarme],MATCH(Energiberegning!CF$7,Energiprognose[År],0))</f>
        <v>145.45186560000008</v>
      </c>
      <c r="CG12" s="140">
        <f>CF12+Energiberegning[[#This Row],[Besparelse_m²]]*INDEX(Energiprognose[Fjernvarme],MATCH(Energiberegning!CG$7,Energiprognose[År],0))</f>
        <v>147.15783360000009</v>
      </c>
      <c r="CH12" s="140">
        <f>CG12+Energiberegning[[#This Row],[Besparelse_m²]]*INDEX(Energiprognose[Fjernvarme],MATCH(Energiberegning!CH$7,Energiprognose[År],0))</f>
        <v>148.8638016000001</v>
      </c>
      <c r="CI12" s="140">
        <f>CH12+Energiberegning[[#This Row],[Besparelse_m²]]*INDEX(Energiprognose[Fjernvarme],MATCH(Energiberegning!CI$7,Energiprognose[År],0))</f>
        <v>150.56976960000011</v>
      </c>
      <c r="CJ12" s="140">
        <f>CI12+Energiberegning[[#This Row],[Besparelse_m²]]*INDEX(Energiprognose[Fjernvarme],MATCH(Energiberegning!CJ$7,Energiprognose[År],0))</f>
        <v>152.27573760000013</v>
      </c>
      <c r="CK12" s="140">
        <f>CJ12+Energiberegning[[#This Row],[Besparelse_m²]]*INDEX(Energiprognose[Fjernvarme],MATCH(Energiberegning!CK$7,Energiprognose[År],0))</f>
        <v>153.98170560000014</v>
      </c>
      <c r="CL12" s="140">
        <f>CK12+Energiberegning[[#This Row],[Besparelse_m²]]*INDEX(Energiprognose[Fjernvarme],MATCH(Energiberegning!CL$7,Energiprognose[År],0))</f>
        <v>155.68767360000015</v>
      </c>
      <c r="CM12" s="140">
        <f>CL12+Energiberegning[[#This Row],[Besparelse_m²]]*INDEX(Energiprognose[Fjernvarme],MATCH(Energiberegning!CM$7,Energiprognose[År],0))</f>
        <v>157.39364160000017</v>
      </c>
      <c r="CN12" s="19"/>
    </row>
    <row r="13" spans="1:92">
      <c r="A13" t="s">
        <v>525</v>
      </c>
      <c r="B13" s="139">
        <f>_xlfn.NUMBERVALUE(LEFT(Energiberegning[[#This Row],[Ydervæg]],2))</f>
        <v>36</v>
      </c>
      <c r="C13">
        <v>50</v>
      </c>
      <c r="D13">
        <v>150</v>
      </c>
      <c r="E13">
        <f>Energiberegning[[#This Row],[Nuværende isolering]]+Energiberegning[[#This Row],[Efterisolering]]</f>
        <v>200</v>
      </c>
      <c r="F13">
        <v>0.63</v>
      </c>
      <c r="G13">
        <v>0.16</v>
      </c>
      <c r="H13" s="120">
        <v>45720</v>
      </c>
      <c r="I13">
        <f>Energiberegning[[#This Row],[Besparelse_1000_m²]]/1000</f>
        <v>45.72</v>
      </c>
      <c r="J13" s="159">
        <v>0</v>
      </c>
      <c r="K13" s="152">
        <f>Energiberegning[[#This Row],[Besparelse_m²]]*INDEX(Energiprognose[Fjernvarme],MATCH(Energiberegning!K$7,Energiprognose[År],0))</f>
        <v>2.1278087999999999</v>
      </c>
      <c r="L13" s="140">
        <f>K13+Energiberegning[[#This Row],[Besparelse_m²]]*INDEX(Energiprognose[Fjernvarme],MATCH(Energiberegning!L$7,Energiprognose[År],0))</f>
        <v>4.0389048000000001</v>
      </c>
      <c r="M13" s="140">
        <f>L13+Energiberegning[[#This Row],[Besparelse_m²]]*INDEX(Energiprognose[Fjernvarme],MATCH(Energiberegning!M$7,Energiprognose[År],0))</f>
        <v>5.7332879999999999</v>
      </c>
      <c r="N13" s="140">
        <f>M13+Energiberegning[[#This Row],[Besparelse_m²]]*INDEX(Energiprognose[Fjernvarme],MATCH(Energiberegning!N$7,Energiprognose[År],0))</f>
        <v>7.2109583999999991</v>
      </c>
      <c r="O13" s="140">
        <f>N13+Energiberegning[[#This Row],[Besparelse_m²]]*INDEX(Energiprognose[Fjernvarme],MATCH(Energiberegning!O$7,Energiprognose[År],0))</f>
        <v>8.4719159999999984</v>
      </c>
      <c r="P13" s="140">
        <f>O13+Energiberegning[[#This Row],[Besparelse_m²]]*INDEX(Energiprognose[Fjernvarme],MATCH(Energiberegning!P$7,Energiprognose[År],0))</f>
        <v>9.516160799999998</v>
      </c>
      <c r="Q13" s="140">
        <f>P13+Energiberegning[[#This Row],[Besparelse_m²]]*INDEX(Energiprognose[Fjernvarme],MATCH(Energiberegning!Q$7,Energiprognose[År],0))</f>
        <v>10.343692799999998</v>
      </c>
      <c r="R13" s="140">
        <f>Q13+Energiberegning[[#This Row],[Besparelse_m²]]*INDEX(Energiprognose[Fjernvarme],MATCH(Energiberegning!R$7,Energiprognose[År],0))</f>
        <v>11.133734399999998</v>
      </c>
      <c r="S13" s="140">
        <f>R13+Energiberegning[[#This Row],[Besparelse_m²]]*INDEX(Energiprognose[Fjernvarme],MATCH(Energiberegning!S$7,Energiprognose[År],0))</f>
        <v>11.886285599999997</v>
      </c>
      <c r="T13" s="140">
        <f>S13+Energiberegning[[#This Row],[Besparelse_m²]]*INDEX(Energiprognose[Fjernvarme],MATCH(Energiberegning!T$7,Energiprognose[År],0))</f>
        <v>12.601346399999997</v>
      </c>
      <c r="U13" s="140">
        <f>T13+Energiberegning[[#This Row],[Besparelse_m²]]*INDEX(Energiprognose[Fjernvarme],MATCH(Energiberegning!U$7,Energiprognose[År],0))</f>
        <v>13.278916799999998</v>
      </c>
      <c r="V13" s="140">
        <f>U13+Energiberegning[[#This Row],[Besparelse_m²]]*INDEX(Energiprognose[Fjernvarme],MATCH(Energiberegning!V$7,Energiprognose[År],0))</f>
        <v>13.918996799999997</v>
      </c>
      <c r="W13" s="140">
        <f>V13+Energiberegning[[#This Row],[Besparelse_m²]]*INDEX(Energiprognose[Fjernvarme],MATCH(Energiberegning!W$7,Energiprognose[År],0))</f>
        <v>14.553590399999997</v>
      </c>
      <c r="X13" s="140">
        <f>W13+Energiberegning[[#This Row],[Besparelse_m²]]*INDEX(Energiprognose[Fjernvarme],MATCH(Energiberegning!X$7,Energiprognose[År],0))</f>
        <v>15.182697599999997</v>
      </c>
      <c r="Y13" s="140">
        <f>X13+Energiberegning[[#This Row],[Besparelse_m²]]*INDEX(Energiprognose[Fjernvarme],MATCH(Energiberegning!Y$7,Energiprognose[År],0))</f>
        <v>15.806318399999997</v>
      </c>
      <c r="Z13" s="140">
        <f>Y13+Energiberegning[[#This Row],[Besparelse_m²]]*INDEX(Energiprognose[Fjernvarme],MATCH(Energiberegning!Z$7,Energiprognose[År],0))</f>
        <v>16.424452799999997</v>
      </c>
      <c r="AA13" s="140">
        <f>Z13+Energiberegning[[#This Row],[Besparelse_m²]]*INDEX(Energiprognose[Fjernvarme],MATCH(Energiberegning!AA$7,Energiprognose[År],0))</f>
        <v>17.037100799999997</v>
      </c>
      <c r="AB13" s="140">
        <f>AA13+Energiberegning[[#This Row],[Besparelse_m²]]*INDEX(Energiprognose[Fjernvarme],MATCH(Energiberegning!AB$7,Energiprognose[År],0))</f>
        <v>17.647919999999999</v>
      </c>
      <c r="AC13" s="140">
        <f>AB13+Energiberegning[[#This Row],[Besparelse_m²]]*INDEX(Energiprognose[Fjernvarme],MATCH(Energiberegning!AC$7,Energiprognose[År],0))</f>
        <v>18.256910399999999</v>
      </c>
      <c r="AD13" s="140">
        <f>AC13+Energiberegning[[#This Row],[Besparelse_m²]]*INDEX(Energiprognose[Fjernvarme],MATCH(Energiberegning!AD$7,Energiprognose[År],0))</f>
        <v>18.864072</v>
      </c>
      <c r="AE13" s="140">
        <f>AD13+Energiberegning[[#This Row],[Besparelse_m²]]*INDEX(Energiprognose[Fjernvarme],MATCH(Energiberegning!AE$7,Energiprognose[År],0))</f>
        <v>19.4694048</v>
      </c>
      <c r="AF13" s="140">
        <f>AE13+Energiberegning[[#This Row],[Besparelse_m²]]*INDEX(Energiprognose[Fjernvarme],MATCH(Energiberegning!AF$7,Energiprognose[År],0))</f>
        <v>20.0729088</v>
      </c>
      <c r="AG13" s="140">
        <f>AF13+Energiberegning[[#This Row],[Besparelse_m²]]*INDEX(Energiprognose[Fjernvarme],MATCH(Energiberegning!AG$7,Energiprognose[År],0))</f>
        <v>20.676412800000001</v>
      </c>
      <c r="AH13" s="140">
        <f>AG13+Energiberegning[[#This Row],[Besparelse_m²]]*INDEX(Energiprognose[Fjernvarme],MATCH(Energiberegning!AH$7,Energiprognose[År],0))</f>
        <v>21.279916800000002</v>
      </c>
      <c r="AI13" s="140">
        <f>AH13+Energiberegning[[#This Row],[Besparelse_m²]]*INDEX(Energiprognose[Fjernvarme],MATCH(Energiberegning!AI$7,Energiprognose[År],0))</f>
        <v>21.883420800000003</v>
      </c>
      <c r="AJ13" s="140">
        <f>AI13+Energiberegning[[#This Row],[Besparelse_m²]]*INDEX(Energiprognose[Fjernvarme],MATCH(Energiberegning!AJ$7,Energiprognose[År],0))</f>
        <v>22.486924800000004</v>
      </c>
      <c r="AK13" s="140">
        <f>AJ13+Energiberegning[[#This Row],[Besparelse_m²]]*INDEX(Energiprognose[Fjernvarme],MATCH(Energiberegning!AK$7,Energiprognose[År],0))</f>
        <v>23.090428800000005</v>
      </c>
      <c r="AL13" s="140">
        <f>AK13+Energiberegning[[#This Row],[Besparelse_m²]]*INDEX(Energiprognose[Fjernvarme],MATCH(Energiberegning!AL$7,Energiprognose[År],0))</f>
        <v>23.693932800000006</v>
      </c>
      <c r="AM13" s="140">
        <f>AL13+Energiberegning[[#This Row],[Besparelse_m²]]*INDEX(Energiprognose[Fjernvarme],MATCH(Energiberegning!AM$7,Energiprognose[År],0))</f>
        <v>24.297436800000007</v>
      </c>
      <c r="AN13" s="140">
        <f>AM13+Energiberegning[[#This Row],[Besparelse_m²]]*INDEX(Energiprognose[Fjernvarme],MATCH(Energiberegning!AN$7,Energiprognose[År],0))</f>
        <v>24.900940800000008</v>
      </c>
      <c r="AO13" s="140">
        <f>AN13+Energiberegning[[#This Row],[Besparelse_m²]]*INDEX(Energiprognose[Fjernvarme],MATCH(Energiberegning!AO$7,Energiprognose[År],0))</f>
        <v>25.504444800000009</v>
      </c>
      <c r="AP13" s="140">
        <f>AO13+Energiberegning[[#This Row],[Besparelse_m²]]*INDEX(Energiprognose[Fjernvarme],MATCH(Energiberegning!AP$7,Energiprognose[År],0))</f>
        <v>26.10794880000001</v>
      </c>
      <c r="AQ13" s="140">
        <f>AP13+Energiberegning[[#This Row],[Besparelse_m²]]*INDEX(Energiprognose[Fjernvarme],MATCH(Energiberegning!AQ$7,Energiprognose[År],0))</f>
        <v>26.711452800000011</v>
      </c>
      <c r="AR13" s="140">
        <f>AQ13+Energiberegning[[#This Row],[Besparelse_m²]]*INDEX(Energiprognose[Fjernvarme],MATCH(Energiberegning!AR$7,Energiprognose[År],0))</f>
        <v>27.314956800000012</v>
      </c>
      <c r="AS13" s="140">
        <f>AR13+Energiberegning[[#This Row],[Besparelse_m²]]*INDEX(Energiprognose[Fjernvarme],MATCH(Energiberegning!AS$7,Energiprognose[År],0))</f>
        <v>27.918460800000013</v>
      </c>
      <c r="AT13" s="140">
        <f>AS13+Energiberegning[[#This Row],[Besparelse_m²]]*INDEX(Energiprognose[Fjernvarme],MATCH(Energiberegning!AT$7,Energiprognose[År],0))</f>
        <v>28.521964800000013</v>
      </c>
      <c r="AU13" s="140">
        <f>AT13+Energiberegning[[#This Row],[Besparelse_m²]]*INDEX(Energiprognose[Fjernvarme],MATCH(Energiberegning!AU$7,Energiprognose[År],0))</f>
        <v>29.125468800000014</v>
      </c>
      <c r="AV13" s="140">
        <f>AU13+Energiberegning[[#This Row],[Besparelse_m²]]*INDEX(Energiprognose[Fjernvarme],MATCH(Energiberegning!AV$7,Energiprognose[År],0))</f>
        <v>29.728972800000015</v>
      </c>
      <c r="AW13" s="140">
        <f>AV13+Energiberegning[[#This Row],[Besparelse_m²]]*INDEX(Energiprognose[Fjernvarme],MATCH(Energiberegning!AW$7,Energiprognose[År],0))</f>
        <v>30.332476800000016</v>
      </c>
      <c r="AX13" s="140">
        <f>AW13+Energiberegning[[#This Row],[Besparelse_m²]]*INDEX(Energiprognose[Fjernvarme],MATCH(Energiberegning!AX$7,Energiprognose[År],0))</f>
        <v>30.935980800000017</v>
      </c>
      <c r="AY13" s="140">
        <f>AX13+Energiberegning[[#This Row],[Besparelse_m²]]*INDEX(Energiprognose[Fjernvarme],MATCH(Energiberegning!AY$7,Energiprognose[År],0))</f>
        <v>31.539484800000018</v>
      </c>
      <c r="AZ13" s="140">
        <f>AY13+Energiberegning[[#This Row],[Besparelse_m²]]*INDEX(Energiprognose[Fjernvarme],MATCH(Energiberegning!AZ$7,Energiprognose[År],0))</f>
        <v>32.142988800000019</v>
      </c>
      <c r="BA13" s="140">
        <f>AZ13+Energiberegning[[#This Row],[Besparelse_m²]]*INDEX(Energiprognose[Fjernvarme],MATCH(Energiberegning!BA$7,Energiprognose[År],0))</f>
        <v>32.74649280000002</v>
      </c>
      <c r="BB13" s="140">
        <f>BA13+Energiberegning[[#This Row],[Besparelse_m²]]*INDEX(Energiprognose[Fjernvarme],MATCH(Energiberegning!BB$7,Energiprognose[År],0))</f>
        <v>33.349996800000021</v>
      </c>
      <c r="BC13" s="140">
        <f>BB13+Energiberegning[[#This Row],[Besparelse_m²]]*INDEX(Energiprognose[Fjernvarme],MATCH(Energiberegning!BC$7,Energiprognose[År],0))</f>
        <v>33.953500800000022</v>
      </c>
      <c r="BD13" s="140">
        <f>BC13+Energiberegning[[#This Row],[Besparelse_m²]]*INDEX(Energiprognose[Fjernvarme],MATCH(Energiberegning!BD$7,Energiprognose[År],0))</f>
        <v>34.557004800000023</v>
      </c>
      <c r="BE13" s="140">
        <f>BD13+Energiberegning[[#This Row],[Besparelse_m²]]*INDEX(Energiprognose[Fjernvarme],MATCH(Energiberegning!BE$7,Energiprognose[År],0))</f>
        <v>35.160508800000024</v>
      </c>
      <c r="BF13" s="140">
        <f>BE13+Energiberegning[[#This Row],[Besparelse_m²]]*INDEX(Energiprognose[Fjernvarme],MATCH(Energiberegning!BF$7,Energiprognose[År],0))</f>
        <v>35.764012800000025</v>
      </c>
      <c r="BG13" s="140">
        <f>BF13+Energiberegning[[#This Row],[Besparelse_m²]]*INDEX(Energiprognose[Fjernvarme],MATCH(Energiberegning!BG$7,Energiprognose[År],0))</f>
        <v>36.367516800000026</v>
      </c>
      <c r="BH13" s="140">
        <f>BG13+Energiberegning[[#This Row],[Besparelse_m²]]*INDEX(Energiprognose[Fjernvarme],MATCH(Energiberegning!BH$7,Energiprognose[År],0))</f>
        <v>36.971020800000026</v>
      </c>
      <c r="BI13" s="140">
        <f>BH13+Energiberegning[[#This Row],[Besparelse_m²]]*INDEX(Energiprognose[Fjernvarme],MATCH(Energiberegning!BI$7,Energiprognose[År],0))</f>
        <v>37.574524800000027</v>
      </c>
      <c r="BJ13" s="140">
        <f>BI13+Energiberegning[[#This Row],[Besparelse_m²]]*INDEX(Energiprognose[Fjernvarme],MATCH(Energiberegning!BJ$7,Energiprognose[År],0))</f>
        <v>38.178028800000028</v>
      </c>
      <c r="BK13" s="140">
        <f>BJ13+Energiberegning[[#This Row],[Besparelse_m²]]*INDEX(Energiprognose[Fjernvarme],MATCH(Energiberegning!BK$7,Energiprognose[År],0))</f>
        <v>38.781532800000029</v>
      </c>
      <c r="BL13" s="140">
        <f>BK13+Energiberegning[[#This Row],[Besparelse_m²]]*INDEX(Energiprognose[Fjernvarme],MATCH(Energiberegning!BL$7,Energiprognose[År],0))</f>
        <v>39.38503680000003</v>
      </c>
      <c r="BM13" s="140">
        <f>BL13+Energiberegning[[#This Row],[Besparelse_m²]]*INDEX(Energiprognose[Fjernvarme],MATCH(Energiberegning!BM$7,Energiprognose[År],0))</f>
        <v>39.988540800000031</v>
      </c>
      <c r="BN13" s="140">
        <f>BM13+Energiberegning[[#This Row],[Besparelse_m²]]*INDEX(Energiprognose[Fjernvarme],MATCH(Energiberegning!BN$7,Energiprognose[År],0))</f>
        <v>40.592044800000032</v>
      </c>
      <c r="BO13" s="140">
        <f>BN13+Energiberegning[[#This Row],[Besparelse_m²]]*INDEX(Energiprognose[Fjernvarme],MATCH(Energiberegning!BO$7,Energiprognose[År],0))</f>
        <v>41.195548800000033</v>
      </c>
      <c r="BP13" s="140">
        <f>BO13+Energiberegning[[#This Row],[Besparelse_m²]]*INDEX(Energiprognose[Fjernvarme],MATCH(Energiberegning!BP$7,Energiprognose[År],0))</f>
        <v>41.799052800000034</v>
      </c>
      <c r="BQ13" s="140">
        <f>BP13+Energiberegning[[#This Row],[Besparelse_m²]]*INDEX(Energiprognose[Fjernvarme],MATCH(Energiberegning!BQ$7,Energiprognose[År],0))</f>
        <v>42.402556800000035</v>
      </c>
      <c r="BR13" s="140">
        <f>BQ13+Energiberegning[[#This Row],[Besparelse_m²]]*INDEX(Energiprognose[Fjernvarme],MATCH(Energiberegning!BR$7,Energiprognose[År],0))</f>
        <v>43.006060800000036</v>
      </c>
      <c r="BS13" s="140">
        <f>BR13+Energiberegning[[#This Row],[Besparelse_m²]]*INDEX(Energiprognose[Fjernvarme],MATCH(Energiberegning!BS$7,Energiprognose[År],0))</f>
        <v>43.609564800000037</v>
      </c>
      <c r="BT13" s="140">
        <f>BS13+Energiberegning[[#This Row],[Besparelse_m²]]*INDEX(Energiprognose[Fjernvarme],MATCH(Energiberegning!BT$7,Energiprognose[År],0))</f>
        <v>44.213068800000038</v>
      </c>
      <c r="BU13" s="140">
        <f>BT13+Energiberegning[[#This Row],[Besparelse_m²]]*INDEX(Energiprognose[Fjernvarme],MATCH(Energiberegning!BU$7,Energiprognose[År],0))</f>
        <v>44.816572800000039</v>
      </c>
      <c r="BV13" s="140">
        <f>BU13+Energiberegning[[#This Row],[Besparelse_m²]]*INDEX(Energiprognose[Fjernvarme],MATCH(Energiberegning!BV$7,Energiprognose[År],0))</f>
        <v>45.420076800000039</v>
      </c>
      <c r="BW13" s="140">
        <f>BV13+Energiberegning[[#This Row],[Besparelse_m²]]*INDEX(Energiprognose[Fjernvarme],MATCH(Energiberegning!BW$7,Energiprognose[År],0))</f>
        <v>46.02358080000004</v>
      </c>
      <c r="BX13" s="140">
        <f>BW13+Energiberegning[[#This Row],[Besparelse_m²]]*INDEX(Energiprognose[Fjernvarme],MATCH(Energiberegning!BX$7,Energiprognose[År],0))</f>
        <v>46.627084800000041</v>
      </c>
      <c r="BY13" s="140">
        <f>BX13+Energiberegning[[#This Row],[Besparelse_m²]]*INDEX(Energiprognose[Fjernvarme],MATCH(Energiberegning!BY$7,Energiprognose[År],0))</f>
        <v>47.230588800000042</v>
      </c>
      <c r="BZ13" s="140">
        <f>BY13+Energiberegning[[#This Row],[Besparelse_m²]]*INDEX(Energiprognose[Fjernvarme],MATCH(Energiberegning!BZ$7,Energiprognose[År],0))</f>
        <v>47.834092800000043</v>
      </c>
      <c r="CA13" s="140">
        <f>BZ13+Energiberegning[[#This Row],[Besparelse_m²]]*INDEX(Energiprognose[Fjernvarme],MATCH(Energiberegning!CA$7,Energiprognose[År],0))</f>
        <v>48.437596800000044</v>
      </c>
      <c r="CB13" s="140">
        <f>CA13+Energiberegning[[#This Row],[Besparelse_m²]]*INDEX(Energiprognose[Fjernvarme],MATCH(Energiberegning!CB$7,Energiprognose[År],0))</f>
        <v>49.041100800000045</v>
      </c>
      <c r="CC13" s="140">
        <f>CB13+Energiberegning[[#This Row],[Besparelse_m²]]*INDEX(Energiprognose[Fjernvarme],MATCH(Energiberegning!CC$7,Energiprognose[År],0))</f>
        <v>49.644604800000046</v>
      </c>
      <c r="CD13" s="140">
        <f>CC13+Energiberegning[[#This Row],[Besparelse_m²]]*INDEX(Energiprognose[Fjernvarme],MATCH(Energiberegning!CD$7,Energiprognose[År],0))</f>
        <v>50.248108800000047</v>
      </c>
      <c r="CE13" s="140">
        <f>CD13+Energiberegning[[#This Row],[Besparelse_m²]]*INDEX(Energiprognose[Fjernvarme],MATCH(Energiberegning!CE$7,Energiprognose[År],0))</f>
        <v>50.851612800000048</v>
      </c>
      <c r="CF13" s="140">
        <f>CE13+Energiberegning[[#This Row],[Besparelse_m²]]*INDEX(Energiprognose[Fjernvarme],MATCH(Energiberegning!CF$7,Energiprognose[År],0))</f>
        <v>51.455116800000049</v>
      </c>
      <c r="CG13" s="140">
        <f>CF13+Energiberegning[[#This Row],[Besparelse_m²]]*INDEX(Energiprognose[Fjernvarme],MATCH(Energiberegning!CG$7,Energiprognose[År],0))</f>
        <v>52.05862080000005</v>
      </c>
      <c r="CH13" s="140">
        <f>CG13+Energiberegning[[#This Row],[Besparelse_m²]]*INDEX(Energiprognose[Fjernvarme],MATCH(Energiberegning!CH$7,Energiprognose[År],0))</f>
        <v>52.662124800000051</v>
      </c>
      <c r="CI13" s="140">
        <f>CH13+Energiberegning[[#This Row],[Besparelse_m²]]*INDEX(Energiprognose[Fjernvarme],MATCH(Energiberegning!CI$7,Energiprognose[År],0))</f>
        <v>53.265628800000052</v>
      </c>
      <c r="CJ13" s="140">
        <f>CI13+Energiberegning[[#This Row],[Besparelse_m²]]*INDEX(Energiprognose[Fjernvarme],MATCH(Energiberegning!CJ$7,Energiprognose[År],0))</f>
        <v>53.869132800000052</v>
      </c>
      <c r="CK13" s="140">
        <f>CJ13+Energiberegning[[#This Row],[Besparelse_m²]]*INDEX(Energiprognose[Fjernvarme],MATCH(Energiberegning!CK$7,Energiprognose[År],0))</f>
        <v>54.472636800000053</v>
      </c>
      <c r="CL13" s="140">
        <f>CK13+Energiberegning[[#This Row],[Besparelse_m²]]*INDEX(Energiprognose[Fjernvarme],MATCH(Energiberegning!CL$7,Energiprognose[År],0))</f>
        <v>55.076140800000054</v>
      </c>
      <c r="CM13" s="140">
        <f>CL13+Energiberegning[[#This Row],[Besparelse_m²]]*INDEX(Energiprognose[Fjernvarme],MATCH(Energiberegning!CM$7,Energiprognose[År],0))</f>
        <v>55.679644800000055</v>
      </c>
      <c r="CN13" s="19"/>
    </row>
    <row r="14" spans="1:92">
      <c r="A14" t="s">
        <v>526</v>
      </c>
      <c r="B14" s="139">
        <f>_xlfn.NUMBERVALUE(LEFT(Energiberegning[[#This Row],[Ydervæg]],2))</f>
        <v>36</v>
      </c>
      <c r="C14">
        <v>100</v>
      </c>
      <c r="D14">
        <v>100</v>
      </c>
      <c r="E14">
        <f>Energiberegning[[#This Row],[Nuværende isolering]]+Energiberegning[[#This Row],[Efterisolering]]</f>
        <v>200</v>
      </c>
      <c r="F14">
        <v>0.44</v>
      </c>
      <c r="G14">
        <v>0.16</v>
      </c>
      <c r="H14" s="120">
        <v>27000</v>
      </c>
      <c r="I14">
        <f>Energiberegning[[#This Row],[Besparelse_1000_m²]]/1000</f>
        <v>27</v>
      </c>
      <c r="J14" s="159">
        <v>0</v>
      </c>
      <c r="K14" s="152">
        <f>Energiberegning[[#This Row],[Besparelse_m²]]*INDEX(Energiprognose[Fjernvarme],MATCH(Energiberegning!K$7,Energiprognose[År],0))</f>
        <v>1.25658</v>
      </c>
      <c r="L14" s="140">
        <f>K14+Energiberegning[[#This Row],[Besparelse_m²]]*INDEX(Energiprognose[Fjernvarme],MATCH(Energiberegning!L$7,Energiprognose[År],0))</f>
        <v>2.3851800000000001</v>
      </c>
      <c r="M14" s="140">
        <f>L14+Energiberegning[[#This Row],[Besparelse_m²]]*INDEX(Energiprognose[Fjernvarme],MATCH(Energiberegning!M$7,Energiprognose[År],0))</f>
        <v>3.3857999999999997</v>
      </c>
      <c r="N14" s="140">
        <f>M14+Energiberegning[[#This Row],[Besparelse_m²]]*INDEX(Energiprognose[Fjernvarme],MATCH(Energiberegning!N$7,Energiprognose[År],0))</f>
        <v>4.2584399999999993</v>
      </c>
      <c r="O14" s="140">
        <f>N14+Energiberegning[[#This Row],[Besparelse_m²]]*INDEX(Energiprognose[Fjernvarme],MATCH(Energiberegning!O$7,Energiprognose[År],0))</f>
        <v>5.003099999999999</v>
      </c>
      <c r="P14" s="140">
        <f>O14+Energiberegning[[#This Row],[Besparelse_m²]]*INDEX(Energiprognose[Fjernvarme],MATCH(Energiberegning!P$7,Energiprognose[År],0))</f>
        <v>5.6197799999999987</v>
      </c>
      <c r="Q14" s="140">
        <f>P14+Energiberegning[[#This Row],[Besparelse_m²]]*INDEX(Energiprognose[Fjernvarme],MATCH(Energiberegning!Q$7,Energiprognose[År],0))</f>
        <v>6.1084799999999984</v>
      </c>
      <c r="R14" s="140">
        <f>Q14+Energiberegning[[#This Row],[Besparelse_m²]]*INDEX(Energiprognose[Fjernvarme],MATCH(Energiberegning!R$7,Energiprognose[År],0))</f>
        <v>6.5750399999999987</v>
      </c>
      <c r="S14" s="140">
        <f>R14+Energiberegning[[#This Row],[Besparelse_m²]]*INDEX(Energiprognose[Fjernvarme],MATCH(Energiberegning!S$7,Energiprognose[År],0))</f>
        <v>7.0194599999999987</v>
      </c>
      <c r="T14" s="140">
        <f>S14+Energiberegning[[#This Row],[Besparelse_m²]]*INDEX(Energiprognose[Fjernvarme],MATCH(Energiberegning!T$7,Energiprognose[År],0))</f>
        <v>7.4417399999999985</v>
      </c>
      <c r="U14" s="140">
        <f>T14+Energiberegning[[#This Row],[Besparelse_m²]]*INDEX(Energiprognose[Fjernvarme],MATCH(Energiberegning!U$7,Energiprognose[År],0))</f>
        <v>7.841879999999998</v>
      </c>
      <c r="V14" s="140">
        <f>U14+Energiberegning[[#This Row],[Besparelse_m²]]*INDEX(Energiprognose[Fjernvarme],MATCH(Energiberegning!V$7,Energiprognose[År],0))</f>
        <v>8.2198799999999981</v>
      </c>
      <c r="W14" s="140">
        <f>V14+Energiberegning[[#This Row],[Besparelse_m²]]*INDEX(Energiprognose[Fjernvarme],MATCH(Energiberegning!W$7,Energiprognose[År],0))</f>
        <v>8.5946399999999983</v>
      </c>
      <c r="X14" s="140">
        <f>W14+Energiberegning[[#This Row],[Besparelse_m²]]*INDEX(Energiprognose[Fjernvarme],MATCH(Energiberegning!X$7,Energiprognose[År],0))</f>
        <v>8.9661599999999986</v>
      </c>
      <c r="Y14" s="140">
        <f>X14+Energiberegning[[#This Row],[Besparelse_m²]]*INDEX(Energiprognose[Fjernvarme],MATCH(Energiberegning!Y$7,Energiprognose[År],0))</f>
        <v>9.334439999999999</v>
      </c>
      <c r="Z14" s="140">
        <f>Y14+Energiberegning[[#This Row],[Besparelse_m²]]*INDEX(Energiprognose[Fjernvarme],MATCH(Energiberegning!Z$7,Energiprognose[År],0))</f>
        <v>9.6994799999999994</v>
      </c>
      <c r="AA14" s="140">
        <f>Z14+Energiberegning[[#This Row],[Besparelse_m²]]*INDEX(Energiprognose[Fjernvarme],MATCH(Energiberegning!AA$7,Energiprognose[År],0))</f>
        <v>10.06128</v>
      </c>
      <c r="AB14" s="140">
        <f>AA14+Energiberegning[[#This Row],[Besparelse_m²]]*INDEX(Energiprognose[Fjernvarme],MATCH(Energiberegning!AB$7,Energiprognose[År],0))</f>
        <v>10.422000000000001</v>
      </c>
      <c r="AC14" s="140">
        <f>AB14+Energiberegning[[#This Row],[Besparelse_m²]]*INDEX(Energiprognose[Fjernvarme],MATCH(Energiberegning!AC$7,Energiprognose[År],0))</f>
        <v>10.781640000000001</v>
      </c>
      <c r="AD14" s="140">
        <f>AC14+Energiberegning[[#This Row],[Besparelse_m²]]*INDEX(Energiprognose[Fjernvarme],MATCH(Energiberegning!AD$7,Energiprognose[År],0))</f>
        <v>11.140200000000002</v>
      </c>
      <c r="AE14" s="140">
        <f>AD14+Energiberegning[[#This Row],[Besparelse_m²]]*INDEX(Energiprognose[Fjernvarme],MATCH(Energiberegning!AE$7,Energiprognose[År],0))</f>
        <v>11.497680000000003</v>
      </c>
      <c r="AF14" s="140">
        <f>AE14+Energiberegning[[#This Row],[Besparelse_m²]]*INDEX(Energiprognose[Fjernvarme],MATCH(Energiberegning!AF$7,Energiprognose[År],0))</f>
        <v>11.854080000000003</v>
      </c>
      <c r="AG14" s="140">
        <f>AF14+Energiberegning[[#This Row],[Besparelse_m²]]*INDEX(Energiprognose[Fjernvarme],MATCH(Energiberegning!AG$7,Energiprognose[År],0))</f>
        <v>12.210480000000004</v>
      </c>
      <c r="AH14" s="140">
        <f>AG14+Energiberegning[[#This Row],[Besparelse_m²]]*INDEX(Energiprognose[Fjernvarme],MATCH(Energiberegning!AH$7,Energiprognose[År],0))</f>
        <v>12.566880000000005</v>
      </c>
      <c r="AI14" s="140">
        <f>AH14+Energiberegning[[#This Row],[Besparelse_m²]]*INDEX(Energiprognose[Fjernvarme],MATCH(Energiberegning!AI$7,Energiprognose[År],0))</f>
        <v>12.923280000000005</v>
      </c>
      <c r="AJ14" s="140">
        <f>AI14+Energiberegning[[#This Row],[Besparelse_m²]]*INDEX(Energiprognose[Fjernvarme],MATCH(Energiberegning!AJ$7,Energiprognose[År],0))</f>
        <v>13.279680000000006</v>
      </c>
      <c r="AK14" s="140">
        <f>AJ14+Energiberegning[[#This Row],[Besparelse_m²]]*INDEX(Energiprognose[Fjernvarme],MATCH(Energiberegning!AK$7,Energiprognose[År],0))</f>
        <v>13.636080000000007</v>
      </c>
      <c r="AL14" s="140">
        <f>AK14+Energiberegning[[#This Row],[Besparelse_m²]]*INDEX(Energiprognose[Fjernvarme],MATCH(Energiberegning!AL$7,Energiprognose[År],0))</f>
        <v>13.992480000000008</v>
      </c>
      <c r="AM14" s="140">
        <f>AL14+Energiberegning[[#This Row],[Besparelse_m²]]*INDEX(Energiprognose[Fjernvarme],MATCH(Energiberegning!AM$7,Energiprognose[År],0))</f>
        <v>14.348880000000008</v>
      </c>
      <c r="AN14" s="140">
        <f>AM14+Energiberegning[[#This Row],[Besparelse_m²]]*INDEX(Energiprognose[Fjernvarme],MATCH(Energiberegning!AN$7,Energiprognose[År],0))</f>
        <v>14.705280000000009</v>
      </c>
      <c r="AO14" s="140">
        <f>AN14+Energiberegning[[#This Row],[Besparelse_m²]]*INDEX(Energiprognose[Fjernvarme],MATCH(Energiberegning!AO$7,Energiprognose[År],0))</f>
        <v>15.06168000000001</v>
      </c>
      <c r="AP14" s="140">
        <f>AO14+Energiberegning[[#This Row],[Besparelse_m²]]*INDEX(Energiprognose[Fjernvarme],MATCH(Energiberegning!AP$7,Energiprognose[År],0))</f>
        <v>15.41808000000001</v>
      </c>
      <c r="AQ14" s="140">
        <f>AP14+Energiberegning[[#This Row],[Besparelse_m²]]*INDEX(Energiprognose[Fjernvarme],MATCH(Energiberegning!AQ$7,Energiprognose[År],0))</f>
        <v>15.774480000000011</v>
      </c>
      <c r="AR14" s="140">
        <f>AQ14+Energiberegning[[#This Row],[Besparelse_m²]]*INDEX(Energiprognose[Fjernvarme],MATCH(Energiberegning!AR$7,Energiprognose[År],0))</f>
        <v>16.130880000000012</v>
      </c>
      <c r="AS14" s="140">
        <f>AR14+Energiberegning[[#This Row],[Besparelse_m²]]*INDEX(Energiprognose[Fjernvarme],MATCH(Energiberegning!AS$7,Energiprognose[År],0))</f>
        <v>16.487280000000013</v>
      </c>
      <c r="AT14" s="140">
        <f>AS14+Energiberegning[[#This Row],[Besparelse_m²]]*INDEX(Energiprognose[Fjernvarme],MATCH(Energiberegning!AT$7,Energiprognose[År],0))</f>
        <v>16.843680000000013</v>
      </c>
      <c r="AU14" s="140">
        <f>AT14+Energiberegning[[#This Row],[Besparelse_m²]]*INDEX(Energiprognose[Fjernvarme],MATCH(Energiberegning!AU$7,Energiprognose[År],0))</f>
        <v>17.200080000000014</v>
      </c>
      <c r="AV14" s="140">
        <f>AU14+Energiberegning[[#This Row],[Besparelse_m²]]*INDEX(Energiprognose[Fjernvarme],MATCH(Energiberegning!AV$7,Energiprognose[År],0))</f>
        <v>17.556480000000015</v>
      </c>
      <c r="AW14" s="140">
        <f>AV14+Energiberegning[[#This Row],[Besparelse_m²]]*INDEX(Energiprognose[Fjernvarme],MATCH(Energiberegning!AW$7,Energiprognose[År],0))</f>
        <v>17.912880000000015</v>
      </c>
      <c r="AX14" s="140">
        <f>AW14+Energiberegning[[#This Row],[Besparelse_m²]]*INDEX(Energiprognose[Fjernvarme],MATCH(Energiberegning!AX$7,Energiprognose[År],0))</f>
        <v>18.269280000000016</v>
      </c>
      <c r="AY14" s="140">
        <f>AX14+Energiberegning[[#This Row],[Besparelse_m²]]*INDEX(Energiprognose[Fjernvarme],MATCH(Energiberegning!AY$7,Energiprognose[År],0))</f>
        <v>18.625680000000017</v>
      </c>
      <c r="AZ14" s="140">
        <f>AY14+Energiberegning[[#This Row],[Besparelse_m²]]*INDEX(Energiprognose[Fjernvarme],MATCH(Energiberegning!AZ$7,Energiprognose[År],0))</f>
        <v>18.982080000000018</v>
      </c>
      <c r="BA14" s="140">
        <f>AZ14+Energiberegning[[#This Row],[Besparelse_m²]]*INDEX(Energiprognose[Fjernvarme],MATCH(Energiberegning!BA$7,Energiprognose[År],0))</f>
        <v>19.338480000000018</v>
      </c>
      <c r="BB14" s="140">
        <f>BA14+Energiberegning[[#This Row],[Besparelse_m²]]*INDEX(Energiprognose[Fjernvarme],MATCH(Energiberegning!BB$7,Energiprognose[År],0))</f>
        <v>19.694880000000019</v>
      </c>
      <c r="BC14" s="140">
        <f>BB14+Energiberegning[[#This Row],[Besparelse_m²]]*INDEX(Energiprognose[Fjernvarme],MATCH(Energiberegning!BC$7,Energiprognose[År],0))</f>
        <v>20.05128000000002</v>
      </c>
      <c r="BD14" s="140">
        <f>BC14+Energiberegning[[#This Row],[Besparelse_m²]]*INDEX(Energiprognose[Fjernvarme],MATCH(Energiberegning!BD$7,Energiprognose[År],0))</f>
        <v>20.40768000000002</v>
      </c>
      <c r="BE14" s="140">
        <f>BD14+Energiberegning[[#This Row],[Besparelse_m²]]*INDEX(Energiprognose[Fjernvarme],MATCH(Energiberegning!BE$7,Energiprognose[År],0))</f>
        <v>20.764080000000021</v>
      </c>
      <c r="BF14" s="140">
        <f>BE14+Energiberegning[[#This Row],[Besparelse_m²]]*INDEX(Energiprognose[Fjernvarme],MATCH(Energiberegning!BF$7,Energiprognose[År],0))</f>
        <v>21.120480000000022</v>
      </c>
      <c r="BG14" s="140">
        <f>BF14+Energiberegning[[#This Row],[Besparelse_m²]]*INDEX(Energiprognose[Fjernvarme],MATCH(Energiberegning!BG$7,Energiprognose[År],0))</f>
        <v>21.476880000000023</v>
      </c>
      <c r="BH14" s="140">
        <f>BG14+Energiberegning[[#This Row],[Besparelse_m²]]*INDEX(Energiprognose[Fjernvarme],MATCH(Energiberegning!BH$7,Energiprognose[År],0))</f>
        <v>21.833280000000023</v>
      </c>
      <c r="BI14" s="140">
        <f>BH14+Energiberegning[[#This Row],[Besparelse_m²]]*INDEX(Energiprognose[Fjernvarme],MATCH(Energiberegning!BI$7,Energiprognose[År],0))</f>
        <v>22.189680000000024</v>
      </c>
      <c r="BJ14" s="140">
        <f>BI14+Energiberegning[[#This Row],[Besparelse_m²]]*INDEX(Energiprognose[Fjernvarme],MATCH(Energiberegning!BJ$7,Energiprognose[År],0))</f>
        <v>22.546080000000025</v>
      </c>
      <c r="BK14" s="140">
        <f>BJ14+Energiberegning[[#This Row],[Besparelse_m²]]*INDEX(Energiprognose[Fjernvarme],MATCH(Energiberegning!BK$7,Energiprognose[År],0))</f>
        <v>22.902480000000025</v>
      </c>
      <c r="BL14" s="140">
        <f>BK14+Energiberegning[[#This Row],[Besparelse_m²]]*INDEX(Energiprognose[Fjernvarme],MATCH(Energiberegning!BL$7,Energiprognose[År],0))</f>
        <v>23.258880000000026</v>
      </c>
      <c r="BM14" s="140">
        <f>BL14+Energiberegning[[#This Row],[Besparelse_m²]]*INDEX(Energiprognose[Fjernvarme],MATCH(Energiberegning!BM$7,Energiprognose[År],0))</f>
        <v>23.615280000000027</v>
      </c>
      <c r="BN14" s="140">
        <f>BM14+Energiberegning[[#This Row],[Besparelse_m²]]*INDEX(Energiprognose[Fjernvarme],MATCH(Energiberegning!BN$7,Energiprognose[År],0))</f>
        <v>23.971680000000028</v>
      </c>
      <c r="BO14" s="140">
        <f>BN14+Energiberegning[[#This Row],[Besparelse_m²]]*INDEX(Energiprognose[Fjernvarme],MATCH(Energiberegning!BO$7,Energiprognose[År],0))</f>
        <v>24.328080000000028</v>
      </c>
      <c r="BP14" s="140">
        <f>BO14+Energiberegning[[#This Row],[Besparelse_m²]]*INDEX(Energiprognose[Fjernvarme],MATCH(Energiberegning!BP$7,Energiprognose[År],0))</f>
        <v>24.684480000000029</v>
      </c>
      <c r="BQ14" s="140">
        <f>BP14+Energiberegning[[#This Row],[Besparelse_m²]]*INDEX(Energiprognose[Fjernvarme],MATCH(Energiberegning!BQ$7,Energiprognose[År],0))</f>
        <v>25.04088000000003</v>
      </c>
      <c r="BR14" s="140">
        <f>BQ14+Energiberegning[[#This Row],[Besparelse_m²]]*INDEX(Energiprognose[Fjernvarme],MATCH(Energiberegning!BR$7,Energiprognose[År],0))</f>
        <v>25.39728000000003</v>
      </c>
      <c r="BS14" s="140">
        <f>BR14+Energiberegning[[#This Row],[Besparelse_m²]]*INDEX(Energiprognose[Fjernvarme],MATCH(Energiberegning!BS$7,Energiprognose[År],0))</f>
        <v>25.753680000000031</v>
      </c>
      <c r="BT14" s="140">
        <f>BS14+Energiberegning[[#This Row],[Besparelse_m²]]*INDEX(Energiprognose[Fjernvarme],MATCH(Energiberegning!BT$7,Energiprognose[År],0))</f>
        <v>26.110080000000032</v>
      </c>
      <c r="BU14" s="140">
        <f>BT14+Energiberegning[[#This Row],[Besparelse_m²]]*INDEX(Energiprognose[Fjernvarme],MATCH(Energiberegning!BU$7,Energiprognose[År],0))</f>
        <v>26.466480000000033</v>
      </c>
      <c r="BV14" s="140">
        <f>BU14+Energiberegning[[#This Row],[Besparelse_m²]]*INDEX(Energiprognose[Fjernvarme],MATCH(Energiberegning!BV$7,Energiprognose[År],0))</f>
        <v>26.822880000000033</v>
      </c>
      <c r="BW14" s="140">
        <f>BV14+Energiberegning[[#This Row],[Besparelse_m²]]*INDEX(Energiprognose[Fjernvarme],MATCH(Energiberegning!BW$7,Energiprognose[År],0))</f>
        <v>27.179280000000034</v>
      </c>
      <c r="BX14" s="140">
        <f>BW14+Energiberegning[[#This Row],[Besparelse_m²]]*INDEX(Energiprognose[Fjernvarme],MATCH(Energiberegning!BX$7,Energiprognose[År],0))</f>
        <v>27.535680000000035</v>
      </c>
      <c r="BY14" s="140">
        <f>BX14+Energiberegning[[#This Row],[Besparelse_m²]]*INDEX(Energiprognose[Fjernvarme],MATCH(Energiberegning!BY$7,Energiprognose[År],0))</f>
        <v>27.892080000000036</v>
      </c>
      <c r="BZ14" s="140">
        <f>BY14+Energiberegning[[#This Row],[Besparelse_m²]]*INDEX(Energiprognose[Fjernvarme],MATCH(Energiberegning!BZ$7,Energiprognose[År],0))</f>
        <v>28.248480000000036</v>
      </c>
      <c r="CA14" s="140">
        <f>BZ14+Energiberegning[[#This Row],[Besparelse_m²]]*INDEX(Energiprognose[Fjernvarme],MATCH(Energiberegning!CA$7,Energiprognose[År],0))</f>
        <v>28.604880000000037</v>
      </c>
      <c r="CB14" s="140">
        <f>CA14+Energiberegning[[#This Row],[Besparelse_m²]]*INDEX(Energiprognose[Fjernvarme],MATCH(Energiberegning!CB$7,Energiprognose[År],0))</f>
        <v>28.961280000000038</v>
      </c>
      <c r="CC14" s="140">
        <f>CB14+Energiberegning[[#This Row],[Besparelse_m²]]*INDEX(Energiprognose[Fjernvarme],MATCH(Energiberegning!CC$7,Energiprognose[År],0))</f>
        <v>29.317680000000038</v>
      </c>
      <c r="CD14" s="140">
        <f>CC14+Energiberegning[[#This Row],[Besparelse_m²]]*INDEX(Energiprognose[Fjernvarme],MATCH(Energiberegning!CD$7,Energiprognose[År],0))</f>
        <v>29.674080000000039</v>
      </c>
      <c r="CE14" s="140">
        <f>CD14+Energiberegning[[#This Row],[Besparelse_m²]]*INDEX(Energiprognose[Fjernvarme],MATCH(Energiberegning!CE$7,Energiprognose[År],0))</f>
        <v>30.03048000000004</v>
      </c>
      <c r="CF14" s="140">
        <f>CE14+Energiberegning[[#This Row],[Besparelse_m²]]*INDEX(Energiprognose[Fjernvarme],MATCH(Energiberegning!CF$7,Energiprognose[År],0))</f>
        <v>30.386880000000041</v>
      </c>
      <c r="CG14" s="140">
        <f>CF14+Energiberegning[[#This Row],[Besparelse_m²]]*INDEX(Energiprognose[Fjernvarme],MATCH(Energiberegning!CG$7,Energiprognose[År],0))</f>
        <v>30.743280000000041</v>
      </c>
      <c r="CH14" s="140">
        <f>CG14+Energiberegning[[#This Row],[Besparelse_m²]]*INDEX(Energiprognose[Fjernvarme],MATCH(Energiberegning!CH$7,Energiprognose[År],0))</f>
        <v>31.099680000000042</v>
      </c>
      <c r="CI14" s="140">
        <f>CH14+Energiberegning[[#This Row],[Besparelse_m²]]*INDEX(Energiprognose[Fjernvarme],MATCH(Energiberegning!CI$7,Energiprognose[År],0))</f>
        <v>31.456080000000043</v>
      </c>
      <c r="CJ14" s="140">
        <f>CI14+Energiberegning[[#This Row],[Besparelse_m²]]*INDEX(Energiprognose[Fjernvarme],MATCH(Energiberegning!CJ$7,Energiprognose[År],0))</f>
        <v>31.812480000000043</v>
      </c>
      <c r="CK14" s="140">
        <f>CJ14+Energiberegning[[#This Row],[Besparelse_m²]]*INDEX(Energiprognose[Fjernvarme],MATCH(Energiberegning!CK$7,Energiprognose[År],0))</f>
        <v>32.168880000000044</v>
      </c>
      <c r="CL14" s="140">
        <f>CK14+Energiberegning[[#This Row],[Besparelse_m²]]*INDEX(Energiprognose[Fjernvarme],MATCH(Energiberegning!CL$7,Energiprognose[År],0))</f>
        <v>32.525280000000045</v>
      </c>
      <c r="CM14" s="140">
        <f>CL14+Energiberegning[[#This Row],[Besparelse_m²]]*INDEX(Energiprognose[Fjernvarme],MATCH(Energiberegning!CM$7,Energiprognose[År],0))</f>
        <v>32.881680000000046</v>
      </c>
      <c r="CN14" s="19"/>
    </row>
    <row r="15" spans="1:92">
      <c r="A15" t="s">
        <v>527</v>
      </c>
      <c r="B15" s="139">
        <f>_xlfn.NUMBERVALUE(LEFT(Energiberegning[[#This Row],[Ydervæg]],2))</f>
        <v>36</v>
      </c>
      <c r="C15">
        <v>100</v>
      </c>
      <c r="D15">
        <v>200</v>
      </c>
      <c r="E15">
        <f>Energiberegning[[#This Row],[Nuværende isolering]]+Energiberegning[[#This Row],[Efterisolering]]</f>
        <v>300</v>
      </c>
      <c r="G15">
        <v>0.12</v>
      </c>
      <c r="H15" s="120">
        <v>30960</v>
      </c>
      <c r="I15">
        <f>Energiberegning[[#This Row],[Besparelse_1000_m²]]/1000</f>
        <v>30.96</v>
      </c>
      <c r="J15" s="159">
        <v>0</v>
      </c>
      <c r="K15" s="152">
        <f>Energiberegning[[#This Row],[Besparelse_m²]]*INDEX(Energiprognose[Fjernvarme],MATCH(Energiberegning!K$7,Energiprognose[År],0))</f>
        <v>1.4408783999999999</v>
      </c>
      <c r="L15" s="140">
        <f>K15+Energiberegning[[#This Row],[Besparelse_m²]]*INDEX(Energiprognose[Fjernvarme],MATCH(Energiberegning!L$7,Energiprognose[År],0))</f>
        <v>2.7350063999999996</v>
      </c>
      <c r="M15" s="140">
        <f>L15+Energiberegning[[#This Row],[Besparelse_m²]]*INDEX(Energiprognose[Fjernvarme],MATCH(Energiberegning!M$7,Energiprognose[År],0))</f>
        <v>3.8823839999999996</v>
      </c>
      <c r="N15" s="140">
        <f>M15+Energiberegning[[#This Row],[Besparelse_m²]]*INDEX(Energiprognose[Fjernvarme],MATCH(Energiberegning!N$7,Energiprognose[År],0))</f>
        <v>4.8830111999999994</v>
      </c>
      <c r="O15" s="140">
        <f>N15+Energiberegning[[#This Row],[Besparelse_m²]]*INDEX(Energiprognose[Fjernvarme],MATCH(Energiberegning!O$7,Energiprognose[År],0))</f>
        <v>5.7368879999999995</v>
      </c>
      <c r="P15" s="140">
        <f>O15+Energiberegning[[#This Row],[Besparelse_m²]]*INDEX(Energiprognose[Fjernvarme],MATCH(Energiberegning!P$7,Energiprognose[År],0))</f>
        <v>6.4440143999999995</v>
      </c>
      <c r="Q15" s="140">
        <f>P15+Energiberegning[[#This Row],[Besparelse_m²]]*INDEX(Energiprognose[Fjernvarme],MATCH(Energiberegning!Q$7,Energiprognose[År],0))</f>
        <v>7.0043903999999992</v>
      </c>
      <c r="R15" s="140">
        <f>Q15+Energiberegning[[#This Row],[Besparelse_m²]]*INDEX(Energiprognose[Fjernvarme],MATCH(Energiberegning!R$7,Energiprognose[År],0))</f>
        <v>7.5393791999999991</v>
      </c>
      <c r="S15" s="140">
        <f>R15+Energiberegning[[#This Row],[Besparelse_m²]]*INDEX(Energiprognose[Fjernvarme],MATCH(Energiberegning!S$7,Energiprognose[År],0))</f>
        <v>8.0489807999999989</v>
      </c>
      <c r="T15" s="140">
        <f>S15+Energiberegning[[#This Row],[Besparelse_m²]]*INDEX(Energiprognose[Fjernvarme],MATCH(Energiberegning!T$7,Energiprognose[År],0))</f>
        <v>8.533195199999998</v>
      </c>
      <c r="U15" s="140">
        <f>T15+Energiberegning[[#This Row],[Besparelse_m²]]*INDEX(Energiprognose[Fjernvarme],MATCH(Energiberegning!U$7,Energiprognose[År],0))</f>
        <v>8.992022399999998</v>
      </c>
      <c r="V15" s="140">
        <f>U15+Energiberegning[[#This Row],[Besparelse_m²]]*INDEX(Energiprognose[Fjernvarme],MATCH(Energiberegning!V$7,Energiprognose[År],0))</f>
        <v>9.4254623999999971</v>
      </c>
      <c r="W15" s="140">
        <f>V15+Energiberegning[[#This Row],[Besparelse_m²]]*INDEX(Energiprognose[Fjernvarme],MATCH(Energiberegning!W$7,Energiprognose[År],0))</f>
        <v>9.8551871999999978</v>
      </c>
      <c r="X15" s="140">
        <f>W15+Energiberegning[[#This Row],[Besparelse_m²]]*INDEX(Energiprognose[Fjernvarme],MATCH(Energiberegning!X$7,Energiprognose[År],0))</f>
        <v>10.281196799999998</v>
      </c>
      <c r="Y15" s="140">
        <f>X15+Energiberegning[[#This Row],[Besparelse_m²]]*INDEX(Energiprognose[Fjernvarme],MATCH(Energiberegning!Y$7,Energiprognose[År],0))</f>
        <v>10.703491199999998</v>
      </c>
      <c r="Z15" s="140">
        <f>Y15+Energiberegning[[#This Row],[Besparelse_m²]]*INDEX(Energiprognose[Fjernvarme],MATCH(Energiberegning!Z$7,Energiprognose[År],0))</f>
        <v>11.122070399999998</v>
      </c>
      <c r="AA15" s="140">
        <f>Z15+Energiberegning[[#This Row],[Besparelse_m²]]*INDEX(Energiprognose[Fjernvarme],MATCH(Energiberegning!AA$7,Energiprognose[År],0))</f>
        <v>11.536934399999998</v>
      </c>
      <c r="AB15" s="140">
        <f>AA15+Energiberegning[[#This Row],[Besparelse_m²]]*INDEX(Energiprognose[Fjernvarme],MATCH(Energiberegning!AB$7,Energiprognose[År],0))</f>
        <v>11.950559999999998</v>
      </c>
      <c r="AC15" s="140">
        <f>AB15+Energiberegning[[#This Row],[Besparelse_m²]]*INDEX(Energiprognose[Fjernvarme],MATCH(Energiberegning!AC$7,Energiprognose[År],0))</f>
        <v>12.362947199999997</v>
      </c>
      <c r="AD15" s="140">
        <f>AC15+Energiberegning[[#This Row],[Besparelse_m²]]*INDEX(Energiprognose[Fjernvarme],MATCH(Energiberegning!AD$7,Energiprognose[År],0))</f>
        <v>12.774095999999997</v>
      </c>
      <c r="AE15" s="140">
        <f>AD15+Energiberegning[[#This Row],[Besparelse_m²]]*INDEX(Energiprognose[Fjernvarme],MATCH(Energiberegning!AE$7,Energiprognose[År],0))</f>
        <v>13.184006399999996</v>
      </c>
      <c r="AF15" s="140">
        <f>AE15+Energiberegning[[#This Row],[Besparelse_m²]]*INDEX(Energiprognose[Fjernvarme],MATCH(Energiberegning!AF$7,Energiprognose[År],0))</f>
        <v>13.592678399999995</v>
      </c>
      <c r="AG15" s="140">
        <f>AF15+Energiberegning[[#This Row],[Besparelse_m²]]*INDEX(Energiprognose[Fjernvarme],MATCH(Energiberegning!AG$7,Energiprognose[År],0))</f>
        <v>14.001350399999994</v>
      </c>
      <c r="AH15" s="140">
        <f>AG15+Energiberegning[[#This Row],[Besparelse_m²]]*INDEX(Energiprognose[Fjernvarme],MATCH(Energiberegning!AH$7,Energiprognose[År],0))</f>
        <v>14.410022399999994</v>
      </c>
      <c r="AI15" s="140">
        <f>AH15+Energiberegning[[#This Row],[Besparelse_m²]]*INDEX(Energiprognose[Fjernvarme],MATCH(Energiberegning!AI$7,Energiprognose[År],0))</f>
        <v>14.818694399999993</v>
      </c>
      <c r="AJ15" s="140">
        <f>AI15+Energiberegning[[#This Row],[Besparelse_m²]]*INDEX(Energiprognose[Fjernvarme],MATCH(Energiberegning!AJ$7,Energiprognose[År],0))</f>
        <v>15.227366399999992</v>
      </c>
      <c r="AK15" s="140">
        <f>AJ15+Energiberegning[[#This Row],[Besparelse_m²]]*INDEX(Energiprognose[Fjernvarme],MATCH(Energiberegning!AK$7,Energiprognose[År],0))</f>
        <v>15.636038399999991</v>
      </c>
      <c r="AL15" s="140">
        <f>AK15+Energiberegning[[#This Row],[Besparelse_m²]]*INDEX(Energiprognose[Fjernvarme],MATCH(Energiberegning!AL$7,Energiprognose[År],0))</f>
        <v>16.044710399999992</v>
      </c>
      <c r="AM15" s="140">
        <f>AL15+Energiberegning[[#This Row],[Besparelse_m²]]*INDEX(Energiprognose[Fjernvarme],MATCH(Energiberegning!AM$7,Energiprognose[År],0))</f>
        <v>16.453382399999992</v>
      </c>
      <c r="AN15" s="140">
        <f>AM15+Energiberegning[[#This Row],[Besparelse_m²]]*INDEX(Energiprognose[Fjernvarme],MATCH(Energiberegning!AN$7,Energiprognose[År],0))</f>
        <v>16.862054399999991</v>
      </c>
      <c r="AO15" s="140">
        <f>AN15+Energiberegning[[#This Row],[Besparelse_m²]]*INDEX(Energiprognose[Fjernvarme],MATCH(Energiberegning!AO$7,Energiprognose[År],0))</f>
        <v>17.27072639999999</v>
      </c>
      <c r="AP15" s="140">
        <f>AO15+Energiberegning[[#This Row],[Besparelse_m²]]*INDEX(Energiprognose[Fjernvarme],MATCH(Energiberegning!AP$7,Energiprognose[År],0))</f>
        <v>17.67939839999999</v>
      </c>
      <c r="AQ15" s="140">
        <f>AP15+Energiberegning[[#This Row],[Besparelse_m²]]*INDEX(Energiprognose[Fjernvarme],MATCH(Energiberegning!AQ$7,Energiprognose[År],0))</f>
        <v>18.088070399999989</v>
      </c>
      <c r="AR15" s="140">
        <f>AQ15+Energiberegning[[#This Row],[Besparelse_m²]]*INDEX(Energiprognose[Fjernvarme],MATCH(Energiberegning!AR$7,Energiprognose[År],0))</f>
        <v>18.496742399999988</v>
      </c>
      <c r="AS15" s="140">
        <f>AR15+Energiberegning[[#This Row],[Besparelse_m²]]*INDEX(Energiprognose[Fjernvarme],MATCH(Energiberegning!AS$7,Energiprognose[År],0))</f>
        <v>18.905414399999987</v>
      </c>
      <c r="AT15" s="140">
        <f>AS15+Energiberegning[[#This Row],[Besparelse_m²]]*INDEX(Energiprognose[Fjernvarme],MATCH(Energiberegning!AT$7,Energiprognose[År],0))</f>
        <v>19.314086399999987</v>
      </c>
      <c r="AU15" s="140">
        <f>AT15+Energiberegning[[#This Row],[Besparelse_m²]]*INDEX(Energiprognose[Fjernvarme],MATCH(Energiberegning!AU$7,Energiprognose[År],0))</f>
        <v>19.722758399999986</v>
      </c>
      <c r="AV15" s="140">
        <f>AU15+Energiberegning[[#This Row],[Besparelse_m²]]*INDEX(Energiprognose[Fjernvarme],MATCH(Energiberegning!AV$7,Energiprognose[År],0))</f>
        <v>20.131430399999985</v>
      </c>
      <c r="AW15" s="140">
        <f>AV15+Energiberegning[[#This Row],[Besparelse_m²]]*INDEX(Energiprognose[Fjernvarme],MATCH(Energiberegning!AW$7,Energiprognose[År],0))</f>
        <v>20.540102399999984</v>
      </c>
      <c r="AX15" s="140">
        <f>AW15+Energiberegning[[#This Row],[Besparelse_m²]]*INDEX(Energiprognose[Fjernvarme],MATCH(Energiberegning!AX$7,Energiprognose[År],0))</f>
        <v>20.948774399999984</v>
      </c>
      <c r="AY15" s="140">
        <f>AX15+Energiberegning[[#This Row],[Besparelse_m²]]*INDEX(Energiprognose[Fjernvarme],MATCH(Energiberegning!AY$7,Energiprognose[År],0))</f>
        <v>21.357446399999983</v>
      </c>
      <c r="AZ15" s="140">
        <f>AY15+Energiberegning[[#This Row],[Besparelse_m²]]*INDEX(Energiprognose[Fjernvarme],MATCH(Energiberegning!AZ$7,Energiprognose[År],0))</f>
        <v>21.766118399999982</v>
      </c>
      <c r="BA15" s="140">
        <f>AZ15+Energiberegning[[#This Row],[Besparelse_m²]]*INDEX(Energiprognose[Fjernvarme],MATCH(Energiberegning!BA$7,Energiprognose[År],0))</f>
        <v>22.174790399999981</v>
      </c>
      <c r="BB15" s="140">
        <f>BA15+Energiberegning[[#This Row],[Besparelse_m²]]*INDEX(Energiprognose[Fjernvarme],MATCH(Energiberegning!BB$7,Energiprognose[År],0))</f>
        <v>22.583462399999981</v>
      </c>
      <c r="BC15" s="140">
        <f>BB15+Energiberegning[[#This Row],[Besparelse_m²]]*INDEX(Energiprognose[Fjernvarme],MATCH(Energiberegning!BC$7,Energiprognose[År],0))</f>
        <v>22.99213439999998</v>
      </c>
      <c r="BD15" s="140">
        <f>BC15+Energiberegning[[#This Row],[Besparelse_m²]]*INDEX(Energiprognose[Fjernvarme],MATCH(Energiberegning!BD$7,Energiprognose[År],0))</f>
        <v>23.400806399999979</v>
      </c>
      <c r="BE15" s="140">
        <f>BD15+Energiberegning[[#This Row],[Besparelse_m²]]*INDEX(Energiprognose[Fjernvarme],MATCH(Energiberegning!BE$7,Energiprognose[År],0))</f>
        <v>23.809478399999978</v>
      </c>
      <c r="BF15" s="140">
        <f>BE15+Energiberegning[[#This Row],[Besparelse_m²]]*INDEX(Energiprognose[Fjernvarme],MATCH(Energiberegning!BF$7,Energiprognose[År],0))</f>
        <v>24.218150399999978</v>
      </c>
      <c r="BG15" s="140">
        <f>BF15+Energiberegning[[#This Row],[Besparelse_m²]]*INDEX(Energiprognose[Fjernvarme],MATCH(Energiberegning!BG$7,Energiprognose[År],0))</f>
        <v>24.626822399999977</v>
      </c>
      <c r="BH15" s="140">
        <f>BG15+Energiberegning[[#This Row],[Besparelse_m²]]*INDEX(Energiprognose[Fjernvarme],MATCH(Energiberegning!BH$7,Energiprognose[År],0))</f>
        <v>25.035494399999976</v>
      </c>
      <c r="BI15" s="140">
        <f>BH15+Energiberegning[[#This Row],[Besparelse_m²]]*INDEX(Energiprognose[Fjernvarme],MATCH(Energiberegning!BI$7,Energiprognose[År],0))</f>
        <v>25.444166399999975</v>
      </c>
      <c r="BJ15" s="140">
        <f>BI15+Energiberegning[[#This Row],[Besparelse_m²]]*INDEX(Energiprognose[Fjernvarme],MATCH(Energiberegning!BJ$7,Energiprognose[År],0))</f>
        <v>25.852838399999975</v>
      </c>
      <c r="BK15" s="140">
        <f>BJ15+Energiberegning[[#This Row],[Besparelse_m²]]*INDEX(Energiprognose[Fjernvarme],MATCH(Energiberegning!BK$7,Energiprognose[År],0))</f>
        <v>26.261510399999974</v>
      </c>
      <c r="BL15" s="140">
        <f>BK15+Energiberegning[[#This Row],[Besparelse_m²]]*INDEX(Energiprognose[Fjernvarme],MATCH(Energiberegning!BL$7,Energiprognose[År],0))</f>
        <v>26.670182399999973</v>
      </c>
      <c r="BM15" s="140">
        <f>BL15+Energiberegning[[#This Row],[Besparelse_m²]]*INDEX(Energiprognose[Fjernvarme],MATCH(Energiberegning!BM$7,Energiprognose[År],0))</f>
        <v>27.078854399999972</v>
      </c>
      <c r="BN15" s="140">
        <f>BM15+Energiberegning[[#This Row],[Besparelse_m²]]*INDEX(Energiprognose[Fjernvarme],MATCH(Energiberegning!BN$7,Energiprognose[År],0))</f>
        <v>27.487526399999972</v>
      </c>
      <c r="BO15" s="140">
        <f>BN15+Energiberegning[[#This Row],[Besparelse_m²]]*INDEX(Energiprognose[Fjernvarme],MATCH(Energiberegning!BO$7,Energiprognose[År],0))</f>
        <v>27.896198399999971</v>
      </c>
      <c r="BP15" s="140">
        <f>BO15+Energiberegning[[#This Row],[Besparelse_m²]]*INDEX(Energiprognose[Fjernvarme],MATCH(Energiberegning!BP$7,Energiprognose[År],0))</f>
        <v>28.30487039999997</v>
      </c>
      <c r="BQ15" s="140">
        <f>BP15+Energiberegning[[#This Row],[Besparelse_m²]]*INDEX(Energiprognose[Fjernvarme],MATCH(Energiberegning!BQ$7,Energiprognose[År],0))</f>
        <v>28.713542399999969</v>
      </c>
      <c r="BR15" s="140">
        <f>BQ15+Energiberegning[[#This Row],[Besparelse_m²]]*INDEX(Energiprognose[Fjernvarme],MATCH(Energiberegning!BR$7,Energiprognose[År],0))</f>
        <v>29.122214399999969</v>
      </c>
      <c r="BS15" s="140">
        <f>BR15+Energiberegning[[#This Row],[Besparelse_m²]]*INDEX(Energiprognose[Fjernvarme],MATCH(Energiberegning!BS$7,Energiprognose[År],0))</f>
        <v>29.530886399999968</v>
      </c>
      <c r="BT15" s="140">
        <f>BS15+Energiberegning[[#This Row],[Besparelse_m²]]*INDEX(Energiprognose[Fjernvarme],MATCH(Energiberegning!BT$7,Energiprognose[År],0))</f>
        <v>29.939558399999967</v>
      </c>
      <c r="BU15" s="140">
        <f>BT15+Energiberegning[[#This Row],[Besparelse_m²]]*INDEX(Energiprognose[Fjernvarme],MATCH(Energiberegning!BU$7,Energiprognose[År],0))</f>
        <v>30.348230399999967</v>
      </c>
      <c r="BV15" s="140">
        <f>BU15+Energiberegning[[#This Row],[Besparelse_m²]]*INDEX(Energiprognose[Fjernvarme],MATCH(Energiberegning!BV$7,Energiprognose[År],0))</f>
        <v>30.756902399999966</v>
      </c>
      <c r="BW15" s="140">
        <f>BV15+Energiberegning[[#This Row],[Besparelse_m²]]*INDEX(Energiprognose[Fjernvarme],MATCH(Energiberegning!BW$7,Energiprognose[År],0))</f>
        <v>31.165574399999965</v>
      </c>
      <c r="BX15" s="140">
        <f>BW15+Energiberegning[[#This Row],[Besparelse_m²]]*INDEX(Energiprognose[Fjernvarme],MATCH(Energiberegning!BX$7,Energiprognose[År],0))</f>
        <v>31.574246399999964</v>
      </c>
      <c r="BY15" s="140">
        <f>BX15+Energiberegning[[#This Row],[Besparelse_m²]]*INDEX(Energiprognose[Fjernvarme],MATCH(Energiberegning!BY$7,Energiprognose[År],0))</f>
        <v>31.982918399999964</v>
      </c>
      <c r="BZ15" s="140">
        <f>BY15+Energiberegning[[#This Row],[Besparelse_m²]]*INDEX(Energiprognose[Fjernvarme],MATCH(Energiberegning!BZ$7,Energiprognose[År],0))</f>
        <v>32.391590399999963</v>
      </c>
      <c r="CA15" s="140">
        <f>BZ15+Energiberegning[[#This Row],[Besparelse_m²]]*INDEX(Energiprognose[Fjernvarme],MATCH(Energiberegning!CA$7,Energiprognose[År],0))</f>
        <v>32.800262399999966</v>
      </c>
      <c r="CB15" s="140">
        <f>CA15+Energiberegning[[#This Row],[Besparelse_m²]]*INDEX(Energiprognose[Fjernvarme],MATCH(Energiberegning!CB$7,Energiprognose[År],0))</f>
        <v>33.208934399999968</v>
      </c>
      <c r="CC15" s="140">
        <f>CB15+Energiberegning[[#This Row],[Besparelse_m²]]*INDEX(Energiprognose[Fjernvarme],MATCH(Energiberegning!CC$7,Energiprognose[År],0))</f>
        <v>33.617606399999971</v>
      </c>
      <c r="CD15" s="140">
        <f>CC15+Energiberegning[[#This Row],[Besparelse_m²]]*INDEX(Energiprognose[Fjernvarme],MATCH(Energiberegning!CD$7,Energiprognose[År],0))</f>
        <v>34.026278399999974</v>
      </c>
      <c r="CE15" s="140">
        <f>CD15+Energiberegning[[#This Row],[Besparelse_m²]]*INDEX(Energiprognose[Fjernvarme],MATCH(Energiberegning!CE$7,Energiprognose[År],0))</f>
        <v>34.434950399999977</v>
      </c>
      <c r="CF15" s="140">
        <f>CE15+Energiberegning[[#This Row],[Besparelse_m²]]*INDEX(Energiprognose[Fjernvarme],MATCH(Energiberegning!CF$7,Energiprognose[År],0))</f>
        <v>34.84362239999998</v>
      </c>
      <c r="CG15" s="140">
        <f>CF15+Energiberegning[[#This Row],[Besparelse_m²]]*INDEX(Energiprognose[Fjernvarme],MATCH(Energiberegning!CG$7,Energiprognose[År],0))</f>
        <v>35.252294399999982</v>
      </c>
      <c r="CH15" s="140">
        <f>CG15+Energiberegning[[#This Row],[Besparelse_m²]]*INDEX(Energiprognose[Fjernvarme],MATCH(Energiberegning!CH$7,Energiprognose[År],0))</f>
        <v>35.660966399999985</v>
      </c>
      <c r="CI15" s="140">
        <f>CH15+Energiberegning[[#This Row],[Besparelse_m²]]*INDEX(Energiprognose[Fjernvarme],MATCH(Energiberegning!CI$7,Energiprognose[År],0))</f>
        <v>36.069638399999988</v>
      </c>
      <c r="CJ15" s="140">
        <f>CI15+Energiberegning[[#This Row],[Besparelse_m²]]*INDEX(Energiprognose[Fjernvarme],MATCH(Energiberegning!CJ$7,Energiprognose[År],0))</f>
        <v>36.478310399999991</v>
      </c>
      <c r="CK15" s="140">
        <f>CJ15+Energiberegning[[#This Row],[Besparelse_m²]]*INDEX(Energiprognose[Fjernvarme],MATCH(Energiberegning!CK$7,Energiprognose[År],0))</f>
        <v>36.886982399999994</v>
      </c>
      <c r="CL15" s="140">
        <f>CK15+Energiberegning[[#This Row],[Besparelse_m²]]*INDEX(Energiprognose[Fjernvarme],MATCH(Energiberegning!CL$7,Energiprognose[År],0))</f>
        <v>37.295654399999997</v>
      </c>
      <c r="CM15" s="140">
        <f>CL15+Energiberegning[[#This Row],[Besparelse_m²]]*INDEX(Energiprognose[Fjernvarme],MATCH(Energiberegning!CM$7,Energiprognose[År],0))</f>
        <v>37.704326399999999</v>
      </c>
      <c r="CN15" s="19"/>
    </row>
    <row r="16" spans="1:92">
      <c r="A16" t="s">
        <v>536</v>
      </c>
      <c r="B16" s="139">
        <f>_xlfn.NUMBERVALUE(LEFT(Energiberegning[[#This Row],[Ydervæg]],2))</f>
        <v>48</v>
      </c>
      <c r="C16">
        <v>0</v>
      </c>
      <c r="D16">
        <v>200</v>
      </c>
      <c r="E16">
        <f>Energiberegning[[#This Row],[Nuværende isolering]]+Energiberegning[[#This Row],[Efterisolering]]</f>
        <v>200</v>
      </c>
      <c r="F16">
        <v>1.19</v>
      </c>
      <c r="G16">
        <v>0.16</v>
      </c>
      <c r="H16" s="120">
        <v>100440</v>
      </c>
      <c r="I16">
        <f>Energiberegning[[#This Row],[Besparelse_1000_m²]]/1000</f>
        <v>100.44</v>
      </c>
      <c r="J16" s="159">
        <v>0</v>
      </c>
      <c r="K16" s="152">
        <f>Energiberegning[[#This Row],[Besparelse_m²]]*INDEX(Energiprognose[Fjernvarme],MATCH(Energiberegning!K$7,Energiprognose[År],0))</f>
        <v>4.6744775999999995</v>
      </c>
      <c r="L16" s="140">
        <f>K16+Energiberegning[[#This Row],[Besparelse_m²]]*INDEX(Energiprognose[Fjernvarme],MATCH(Energiberegning!L$7,Energiprognose[År],0))</f>
        <v>8.8728695999999978</v>
      </c>
      <c r="M16" s="140">
        <f>L16+Energiberegning[[#This Row],[Besparelse_m²]]*INDEX(Energiprognose[Fjernvarme],MATCH(Energiberegning!M$7,Energiprognose[År],0))</f>
        <v>12.595175999999997</v>
      </c>
      <c r="N16" s="140">
        <f>M16+Energiberegning[[#This Row],[Besparelse_m²]]*INDEX(Energiprognose[Fjernvarme],MATCH(Energiberegning!N$7,Energiprognose[År],0))</f>
        <v>15.841396799999997</v>
      </c>
      <c r="O16" s="140">
        <f>N16+Energiberegning[[#This Row],[Besparelse_m²]]*INDEX(Energiprognose[Fjernvarme],MATCH(Energiberegning!O$7,Energiprognose[År],0))</f>
        <v>18.611531999999997</v>
      </c>
      <c r="P16" s="140">
        <f>O16+Energiberegning[[#This Row],[Besparelse_m²]]*INDEX(Energiprognose[Fjernvarme],MATCH(Energiberegning!P$7,Energiprognose[År],0))</f>
        <v>20.905581599999998</v>
      </c>
      <c r="Q16" s="140">
        <f>P16+Energiberegning[[#This Row],[Besparelse_m²]]*INDEX(Energiprognose[Fjernvarme],MATCH(Energiberegning!Q$7,Energiprognose[År],0))</f>
        <v>22.723545599999998</v>
      </c>
      <c r="R16" s="140">
        <f>Q16+Energiberegning[[#This Row],[Besparelse_m²]]*INDEX(Energiprognose[Fjernvarme],MATCH(Energiberegning!R$7,Energiprognose[År],0))</f>
        <v>24.459148799999998</v>
      </c>
      <c r="S16" s="140">
        <f>R16+Energiberegning[[#This Row],[Besparelse_m²]]*INDEX(Energiprognose[Fjernvarme],MATCH(Energiberegning!S$7,Energiprognose[År],0))</f>
        <v>26.112391199999998</v>
      </c>
      <c r="T16" s="140">
        <f>S16+Energiberegning[[#This Row],[Besparelse_m²]]*INDEX(Energiprognose[Fjernvarme],MATCH(Energiberegning!T$7,Energiprognose[År],0))</f>
        <v>27.683272799999997</v>
      </c>
      <c r="U16" s="140">
        <f>T16+Energiberegning[[#This Row],[Besparelse_m²]]*INDEX(Energiprognose[Fjernvarme],MATCH(Energiberegning!U$7,Energiprognose[År],0))</f>
        <v>29.171793599999997</v>
      </c>
      <c r="V16" s="140">
        <f>U16+Energiberegning[[#This Row],[Besparelse_m²]]*INDEX(Energiprognose[Fjernvarme],MATCH(Energiberegning!V$7,Energiprognose[År],0))</f>
        <v>30.577953599999997</v>
      </c>
      <c r="W16" s="140">
        <f>V16+Energiberegning[[#This Row],[Besparelse_m²]]*INDEX(Energiprognose[Fjernvarme],MATCH(Energiberegning!W$7,Energiprognose[År],0))</f>
        <v>31.972060799999998</v>
      </c>
      <c r="X16" s="140">
        <f>W16+Energiberegning[[#This Row],[Besparelse_m²]]*INDEX(Energiprognose[Fjernvarme],MATCH(Energiberegning!X$7,Energiprognose[År],0))</f>
        <v>33.354115199999995</v>
      </c>
      <c r="Y16" s="140">
        <f>X16+Energiberegning[[#This Row],[Besparelse_m²]]*INDEX(Energiprognose[Fjernvarme],MATCH(Energiberegning!Y$7,Energiprognose[År],0))</f>
        <v>34.724116799999997</v>
      </c>
      <c r="Z16" s="140">
        <f>Y16+Energiberegning[[#This Row],[Besparelse_m²]]*INDEX(Energiprognose[Fjernvarme],MATCH(Energiberegning!Z$7,Energiprognose[År],0))</f>
        <v>36.0820656</v>
      </c>
      <c r="AA16" s="140">
        <f>Z16+Energiberegning[[#This Row],[Besparelse_m²]]*INDEX(Energiprognose[Fjernvarme],MATCH(Energiberegning!AA$7,Energiprognose[År],0))</f>
        <v>37.427961600000003</v>
      </c>
      <c r="AB16" s="140">
        <f>AA16+Energiberegning[[#This Row],[Besparelse_m²]]*INDEX(Energiprognose[Fjernvarme],MATCH(Energiberegning!AB$7,Energiprognose[År],0))</f>
        <v>38.769840000000002</v>
      </c>
      <c r="AC16" s="140">
        <f>AB16+Energiberegning[[#This Row],[Besparelse_m²]]*INDEX(Energiprognose[Fjernvarme],MATCH(Energiberegning!AC$7,Energiprognose[År],0))</f>
        <v>40.107700800000003</v>
      </c>
      <c r="AD16" s="140">
        <f>AC16+Energiberegning[[#This Row],[Besparelse_m²]]*INDEX(Energiprognose[Fjernvarme],MATCH(Energiberegning!AD$7,Energiprognose[År],0))</f>
        <v>41.441544</v>
      </c>
      <c r="AE16" s="140">
        <f>AD16+Energiberegning[[#This Row],[Besparelse_m²]]*INDEX(Energiprognose[Fjernvarme],MATCH(Energiberegning!AE$7,Energiprognose[År],0))</f>
        <v>42.7713696</v>
      </c>
      <c r="AF16" s="140">
        <f>AE16+Energiberegning[[#This Row],[Besparelse_m²]]*INDEX(Energiprognose[Fjernvarme],MATCH(Energiberegning!AF$7,Energiprognose[År],0))</f>
        <v>44.097177600000002</v>
      </c>
      <c r="AG16" s="140">
        <f>AF16+Energiberegning[[#This Row],[Besparelse_m²]]*INDEX(Energiprognose[Fjernvarme],MATCH(Energiberegning!AG$7,Energiprognose[År],0))</f>
        <v>45.422985600000004</v>
      </c>
      <c r="AH16" s="140">
        <f>AG16+Energiberegning[[#This Row],[Besparelse_m²]]*INDEX(Energiprognose[Fjernvarme],MATCH(Energiberegning!AH$7,Energiprognose[År],0))</f>
        <v>46.748793600000006</v>
      </c>
      <c r="AI16" s="140">
        <f>AH16+Energiberegning[[#This Row],[Besparelse_m²]]*INDEX(Energiprognose[Fjernvarme],MATCH(Energiberegning!AI$7,Energiprognose[År],0))</f>
        <v>48.074601600000008</v>
      </c>
      <c r="AJ16" s="140">
        <f>AI16+Energiberegning[[#This Row],[Besparelse_m²]]*INDEX(Energiprognose[Fjernvarme],MATCH(Energiberegning!AJ$7,Energiprognose[År],0))</f>
        <v>49.40040960000001</v>
      </c>
      <c r="AK16" s="140">
        <f>AJ16+Energiberegning[[#This Row],[Besparelse_m²]]*INDEX(Energiprognose[Fjernvarme],MATCH(Energiberegning!AK$7,Energiprognose[År],0))</f>
        <v>50.726217600000012</v>
      </c>
      <c r="AL16" s="140">
        <f>AK16+Energiberegning[[#This Row],[Besparelse_m²]]*INDEX(Energiprognose[Fjernvarme],MATCH(Energiberegning!AL$7,Energiprognose[År],0))</f>
        <v>52.052025600000015</v>
      </c>
      <c r="AM16" s="140">
        <f>AL16+Energiberegning[[#This Row],[Besparelse_m²]]*INDEX(Energiprognose[Fjernvarme],MATCH(Energiberegning!AM$7,Energiprognose[År],0))</f>
        <v>53.377833600000017</v>
      </c>
      <c r="AN16" s="140">
        <f>AM16+Energiberegning[[#This Row],[Besparelse_m²]]*INDEX(Energiprognose[Fjernvarme],MATCH(Energiberegning!AN$7,Energiprognose[År],0))</f>
        <v>54.703641600000019</v>
      </c>
      <c r="AO16" s="140">
        <f>AN16+Energiberegning[[#This Row],[Besparelse_m²]]*INDEX(Energiprognose[Fjernvarme],MATCH(Energiberegning!AO$7,Energiprognose[År],0))</f>
        <v>56.029449600000021</v>
      </c>
      <c r="AP16" s="140">
        <f>AO16+Energiberegning[[#This Row],[Besparelse_m²]]*INDEX(Energiprognose[Fjernvarme],MATCH(Energiberegning!AP$7,Energiprognose[År],0))</f>
        <v>57.355257600000023</v>
      </c>
      <c r="AQ16" s="140">
        <f>AP16+Energiberegning[[#This Row],[Besparelse_m²]]*INDEX(Energiprognose[Fjernvarme],MATCH(Energiberegning!AQ$7,Energiprognose[År],0))</f>
        <v>58.681065600000025</v>
      </c>
      <c r="AR16" s="140">
        <f>AQ16+Energiberegning[[#This Row],[Besparelse_m²]]*INDEX(Energiprognose[Fjernvarme],MATCH(Energiberegning!AR$7,Energiprognose[År],0))</f>
        <v>60.006873600000027</v>
      </c>
      <c r="AS16" s="140">
        <f>AR16+Energiberegning[[#This Row],[Besparelse_m²]]*INDEX(Energiprognose[Fjernvarme],MATCH(Energiberegning!AS$7,Energiprognose[År],0))</f>
        <v>61.332681600000029</v>
      </c>
      <c r="AT16" s="140">
        <f>AS16+Energiberegning[[#This Row],[Besparelse_m²]]*INDEX(Energiprognose[Fjernvarme],MATCH(Energiberegning!AT$7,Energiprognose[År],0))</f>
        <v>62.658489600000031</v>
      </c>
      <c r="AU16" s="140">
        <f>AT16+Energiberegning[[#This Row],[Besparelse_m²]]*INDEX(Energiprognose[Fjernvarme],MATCH(Energiberegning!AU$7,Energiprognose[År],0))</f>
        <v>63.984297600000033</v>
      </c>
      <c r="AV16" s="140">
        <f>AU16+Energiberegning[[#This Row],[Besparelse_m²]]*INDEX(Energiprognose[Fjernvarme],MATCH(Energiberegning!AV$7,Energiprognose[År],0))</f>
        <v>65.310105600000028</v>
      </c>
      <c r="AW16" s="140">
        <f>AV16+Energiberegning[[#This Row],[Besparelse_m²]]*INDEX(Energiprognose[Fjernvarme],MATCH(Energiberegning!AW$7,Energiprognose[År],0))</f>
        <v>66.635913600000023</v>
      </c>
      <c r="AX16" s="140">
        <f>AW16+Energiberegning[[#This Row],[Besparelse_m²]]*INDEX(Energiprognose[Fjernvarme],MATCH(Energiberegning!AX$7,Energiprognose[År],0))</f>
        <v>67.961721600000018</v>
      </c>
      <c r="AY16" s="140">
        <f>AX16+Energiberegning[[#This Row],[Besparelse_m²]]*INDEX(Energiprognose[Fjernvarme],MATCH(Energiberegning!AY$7,Energiprognose[År],0))</f>
        <v>69.287529600000013</v>
      </c>
      <c r="AZ16" s="140">
        <f>AY16+Energiberegning[[#This Row],[Besparelse_m²]]*INDEX(Energiprognose[Fjernvarme],MATCH(Energiberegning!AZ$7,Energiprognose[År],0))</f>
        <v>70.613337600000008</v>
      </c>
      <c r="BA16" s="140">
        <f>AZ16+Energiberegning[[#This Row],[Besparelse_m²]]*INDEX(Energiprognose[Fjernvarme],MATCH(Energiberegning!BA$7,Energiprognose[År],0))</f>
        <v>71.939145600000003</v>
      </c>
      <c r="BB16" s="140">
        <f>BA16+Energiberegning[[#This Row],[Besparelse_m²]]*INDEX(Energiprognose[Fjernvarme],MATCH(Energiberegning!BB$7,Energiprognose[År],0))</f>
        <v>73.264953599999998</v>
      </c>
      <c r="BC16" s="140">
        <f>BB16+Energiberegning[[#This Row],[Besparelse_m²]]*INDEX(Energiprognose[Fjernvarme],MATCH(Energiberegning!BC$7,Energiprognose[År],0))</f>
        <v>74.590761599999993</v>
      </c>
      <c r="BD16" s="140">
        <f>BC16+Energiberegning[[#This Row],[Besparelse_m²]]*INDEX(Energiprognose[Fjernvarme],MATCH(Energiberegning!BD$7,Energiprognose[År],0))</f>
        <v>75.916569599999988</v>
      </c>
      <c r="BE16" s="140">
        <f>BD16+Energiberegning[[#This Row],[Besparelse_m²]]*INDEX(Energiprognose[Fjernvarme],MATCH(Energiberegning!BE$7,Energiprognose[År],0))</f>
        <v>77.242377599999983</v>
      </c>
      <c r="BF16" s="140">
        <f>BE16+Energiberegning[[#This Row],[Besparelse_m²]]*INDEX(Energiprognose[Fjernvarme],MATCH(Energiberegning!BF$7,Energiprognose[År],0))</f>
        <v>78.568185599999978</v>
      </c>
      <c r="BG16" s="140">
        <f>BF16+Energiberegning[[#This Row],[Besparelse_m²]]*INDEX(Energiprognose[Fjernvarme],MATCH(Energiberegning!BG$7,Energiprognose[År],0))</f>
        <v>79.893993599999973</v>
      </c>
      <c r="BH16" s="140">
        <f>BG16+Energiberegning[[#This Row],[Besparelse_m²]]*INDEX(Energiprognose[Fjernvarme],MATCH(Energiberegning!BH$7,Energiprognose[År],0))</f>
        <v>81.219801599999968</v>
      </c>
      <c r="BI16" s="140">
        <f>BH16+Energiberegning[[#This Row],[Besparelse_m²]]*INDEX(Energiprognose[Fjernvarme],MATCH(Energiberegning!BI$7,Energiprognose[År],0))</f>
        <v>82.545609599999963</v>
      </c>
      <c r="BJ16" s="140">
        <f>BI16+Energiberegning[[#This Row],[Besparelse_m²]]*INDEX(Energiprognose[Fjernvarme],MATCH(Energiberegning!BJ$7,Energiprognose[År],0))</f>
        <v>83.871417599999958</v>
      </c>
      <c r="BK16" s="140">
        <f>BJ16+Energiberegning[[#This Row],[Besparelse_m²]]*INDEX(Energiprognose[Fjernvarme],MATCH(Energiberegning!BK$7,Energiprognose[År],0))</f>
        <v>85.197225599999953</v>
      </c>
      <c r="BL16" s="140">
        <f>BK16+Energiberegning[[#This Row],[Besparelse_m²]]*INDEX(Energiprognose[Fjernvarme],MATCH(Energiberegning!BL$7,Energiprognose[År],0))</f>
        <v>86.523033599999948</v>
      </c>
      <c r="BM16" s="140">
        <f>BL16+Energiberegning[[#This Row],[Besparelse_m²]]*INDEX(Energiprognose[Fjernvarme],MATCH(Energiberegning!BM$7,Energiprognose[År],0))</f>
        <v>87.848841599999943</v>
      </c>
      <c r="BN16" s="140">
        <f>BM16+Energiberegning[[#This Row],[Besparelse_m²]]*INDEX(Energiprognose[Fjernvarme],MATCH(Energiberegning!BN$7,Energiprognose[År],0))</f>
        <v>89.174649599999938</v>
      </c>
      <c r="BO16" s="140">
        <f>BN16+Energiberegning[[#This Row],[Besparelse_m²]]*INDEX(Energiprognose[Fjernvarme],MATCH(Energiberegning!BO$7,Energiprognose[År],0))</f>
        <v>90.500457599999933</v>
      </c>
      <c r="BP16" s="140">
        <f>BO16+Energiberegning[[#This Row],[Besparelse_m²]]*INDEX(Energiprognose[Fjernvarme],MATCH(Energiberegning!BP$7,Energiprognose[År],0))</f>
        <v>91.826265599999928</v>
      </c>
      <c r="BQ16" s="140">
        <f>BP16+Energiberegning[[#This Row],[Besparelse_m²]]*INDEX(Energiprognose[Fjernvarme],MATCH(Energiberegning!BQ$7,Energiprognose[År],0))</f>
        <v>93.152073599999923</v>
      </c>
      <c r="BR16" s="140">
        <f>BQ16+Energiberegning[[#This Row],[Besparelse_m²]]*INDEX(Energiprognose[Fjernvarme],MATCH(Energiberegning!BR$7,Energiprognose[År],0))</f>
        <v>94.477881599999918</v>
      </c>
      <c r="BS16" s="140">
        <f>BR16+Energiberegning[[#This Row],[Besparelse_m²]]*INDEX(Energiprognose[Fjernvarme],MATCH(Energiberegning!BS$7,Energiprognose[År],0))</f>
        <v>95.803689599999913</v>
      </c>
      <c r="BT16" s="140">
        <f>BS16+Energiberegning[[#This Row],[Besparelse_m²]]*INDEX(Energiprognose[Fjernvarme],MATCH(Energiberegning!BT$7,Energiprognose[År],0))</f>
        <v>97.129497599999908</v>
      </c>
      <c r="BU16" s="140">
        <f>BT16+Energiberegning[[#This Row],[Besparelse_m²]]*INDEX(Energiprognose[Fjernvarme],MATCH(Energiberegning!BU$7,Energiprognose[År],0))</f>
        <v>98.455305599999903</v>
      </c>
      <c r="BV16" s="140">
        <f>BU16+Energiberegning[[#This Row],[Besparelse_m²]]*INDEX(Energiprognose[Fjernvarme],MATCH(Energiberegning!BV$7,Energiprognose[År],0))</f>
        <v>99.781113599999898</v>
      </c>
      <c r="BW16" s="140">
        <f>BV16+Energiberegning[[#This Row],[Besparelse_m²]]*INDEX(Energiprognose[Fjernvarme],MATCH(Energiberegning!BW$7,Energiprognose[År],0))</f>
        <v>101.10692159999989</v>
      </c>
      <c r="BX16" s="140">
        <f>BW16+Energiberegning[[#This Row],[Besparelse_m²]]*INDEX(Energiprognose[Fjernvarme],MATCH(Energiberegning!BX$7,Energiprognose[År],0))</f>
        <v>102.43272959999989</v>
      </c>
      <c r="BY16" s="140">
        <f>BX16+Energiberegning[[#This Row],[Besparelse_m²]]*INDEX(Energiprognose[Fjernvarme],MATCH(Energiberegning!BY$7,Energiprognose[År],0))</f>
        <v>103.75853759999988</v>
      </c>
      <c r="BZ16" s="140">
        <f>BY16+Energiberegning[[#This Row],[Besparelse_m²]]*INDEX(Energiprognose[Fjernvarme],MATCH(Energiberegning!BZ$7,Energiprognose[År],0))</f>
        <v>105.08434559999988</v>
      </c>
      <c r="CA16" s="140">
        <f>BZ16+Energiberegning[[#This Row],[Besparelse_m²]]*INDEX(Energiprognose[Fjernvarme],MATCH(Energiberegning!CA$7,Energiprognose[År],0))</f>
        <v>106.41015359999987</v>
      </c>
      <c r="CB16" s="140">
        <f>CA16+Energiberegning[[#This Row],[Besparelse_m²]]*INDEX(Energiprognose[Fjernvarme],MATCH(Energiberegning!CB$7,Energiprognose[År],0))</f>
        <v>107.73596159999987</v>
      </c>
      <c r="CC16" s="140">
        <f>CB16+Energiberegning[[#This Row],[Besparelse_m²]]*INDEX(Energiprognose[Fjernvarme],MATCH(Energiberegning!CC$7,Energiprognose[År],0))</f>
        <v>109.06176959999986</v>
      </c>
      <c r="CD16" s="140">
        <f>CC16+Energiberegning[[#This Row],[Besparelse_m²]]*INDEX(Energiprognose[Fjernvarme],MATCH(Energiberegning!CD$7,Energiprognose[År],0))</f>
        <v>110.38757759999986</v>
      </c>
      <c r="CE16" s="140">
        <f>CD16+Energiberegning[[#This Row],[Besparelse_m²]]*INDEX(Energiprognose[Fjernvarme],MATCH(Energiberegning!CE$7,Energiprognose[År],0))</f>
        <v>111.71338559999985</v>
      </c>
      <c r="CF16" s="140">
        <f>CE16+Energiberegning[[#This Row],[Besparelse_m²]]*INDEX(Energiprognose[Fjernvarme],MATCH(Energiberegning!CF$7,Energiprognose[År],0))</f>
        <v>113.03919359999985</v>
      </c>
      <c r="CG16" s="140">
        <f>CF16+Energiberegning[[#This Row],[Besparelse_m²]]*INDEX(Energiprognose[Fjernvarme],MATCH(Energiberegning!CG$7,Energiprognose[År],0))</f>
        <v>114.36500159999984</v>
      </c>
      <c r="CH16" s="140">
        <f>CG16+Energiberegning[[#This Row],[Besparelse_m²]]*INDEX(Energiprognose[Fjernvarme],MATCH(Energiberegning!CH$7,Energiprognose[År],0))</f>
        <v>115.69080959999984</v>
      </c>
      <c r="CI16" s="140">
        <f>CH16+Energiberegning[[#This Row],[Besparelse_m²]]*INDEX(Energiprognose[Fjernvarme],MATCH(Energiberegning!CI$7,Energiprognose[År],0))</f>
        <v>117.01661759999983</v>
      </c>
      <c r="CJ16" s="140">
        <f>CI16+Energiberegning[[#This Row],[Besparelse_m²]]*INDEX(Energiprognose[Fjernvarme],MATCH(Energiberegning!CJ$7,Energiprognose[År],0))</f>
        <v>118.34242559999983</v>
      </c>
      <c r="CK16" s="140">
        <f>CJ16+Energiberegning[[#This Row],[Besparelse_m²]]*INDEX(Energiprognose[Fjernvarme],MATCH(Energiberegning!CK$7,Energiprognose[År],0))</f>
        <v>119.66823359999982</v>
      </c>
      <c r="CL16" s="140">
        <f>CK16+Energiberegning[[#This Row],[Besparelse_m²]]*INDEX(Energiprognose[Fjernvarme],MATCH(Energiberegning!CL$7,Energiprognose[År],0))</f>
        <v>120.99404159999982</v>
      </c>
      <c r="CM16" s="140">
        <f>CL16+Energiberegning[[#This Row],[Besparelse_m²]]*INDEX(Energiprognose[Fjernvarme],MATCH(Energiberegning!CM$7,Energiprognose[År],0))</f>
        <v>122.31984959999981</v>
      </c>
      <c r="CN16" s="19"/>
    </row>
    <row r="17" spans="1:92">
      <c r="A17" t="s">
        <v>528</v>
      </c>
      <c r="B17" s="139">
        <f>_xlfn.NUMBERVALUE(LEFT(Energiberegning[[#This Row],[Ydervæg]],2))</f>
        <v>48</v>
      </c>
      <c r="C17">
        <v>50</v>
      </c>
      <c r="D17">
        <v>150</v>
      </c>
      <c r="E17">
        <f>Energiberegning[[#This Row],[Nuværende isolering]]+Energiberegning[[#This Row],[Efterisolering]]</f>
        <v>200</v>
      </c>
      <c r="F17">
        <v>0.57999999999999996</v>
      </c>
      <c r="G17">
        <v>0.16</v>
      </c>
      <c r="H17" s="120">
        <v>40680</v>
      </c>
      <c r="I17">
        <f>Energiberegning[[#This Row],[Besparelse_1000_m²]]/1000</f>
        <v>40.68</v>
      </c>
      <c r="J17" s="159">
        <v>0</v>
      </c>
      <c r="K17" s="152">
        <f>Energiberegning[[#This Row],[Besparelse_m²]]*INDEX(Energiprognose[Fjernvarme],MATCH(Energiberegning!K$7,Energiprognose[År],0))</f>
        <v>1.8932471999999998</v>
      </c>
      <c r="L17" s="140">
        <f>K17+Energiberegning[[#This Row],[Besparelse_m²]]*INDEX(Energiprognose[Fjernvarme],MATCH(Energiberegning!L$7,Energiprognose[År],0))</f>
        <v>3.5936711999999997</v>
      </c>
      <c r="M17" s="140">
        <f>L17+Energiberegning[[#This Row],[Besparelse_m²]]*INDEX(Energiprognose[Fjernvarme],MATCH(Energiberegning!M$7,Energiprognose[År],0))</f>
        <v>5.1012719999999998</v>
      </c>
      <c r="N17" s="140">
        <f>M17+Energiberegning[[#This Row],[Besparelse_m²]]*INDEX(Energiprognose[Fjernvarme],MATCH(Energiberegning!N$7,Energiprognose[År],0))</f>
        <v>6.4160495999999991</v>
      </c>
      <c r="O17" s="140">
        <f>N17+Energiberegning[[#This Row],[Besparelse_m²]]*INDEX(Energiprognose[Fjernvarme],MATCH(Energiberegning!O$7,Energiprognose[År],0))</f>
        <v>7.538003999999999</v>
      </c>
      <c r="P17" s="140">
        <f>O17+Energiberegning[[#This Row],[Besparelse_m²]]*INDEX(Energiprognose[Fjernvarme],MATCH(Energiberegning!P$7,Energiprognose[År],0))</f>
        <v>8.4671351999999995</v>
      </c>
      <c r="Q17" s="140">
        <f>P17+Energiberegning[[#This Row],[Besparelse_m²]]*INDEX(Energiprognose[Fjernvarme],MATCH(Energiberegning!Q$7,Energiprognose[År],0))</f>
        <v>9.2034431999999988</v>
      </c>
      <c r="R17" s="140">
        <f>Q17+Energiberegning[[#This Row],[Besparelse_m²]]*INDEX(Energiprognose[Fjernvarme],MATCH(Energiberegning!R$7,Energiprognose[År],0))</f>
        <v>9.9063935999999995</v>
      </c>
      <c r="S17" s="140">
        <f>R17+Energiberegning[[#This Row],[Besparelse_m²]]*INDEX(Energiprognose[Fjernvarme],MATCH(Energiberegning!S$7,Energiprognose[År],0))</f>
        <v>10.5759864</v>
      </c>
      <c r="T17" s="140">
        <f>S17+Energiberegning[[#This Row],[Besparelse_m²]]*INDEX(Energiprognose[Fjernvarme],MATCH(Energiberegning!T$7,Energiprognose[År],0))</f>
        <v>11.212221599999999</v>
      </c>
      <c r="U17" s="140">
        <f>T17+Energiberegning[[#This Row],[Besparelse_m²]]*INDEX(Energiprognose[Fjernvarme],MATCH(Energiberegning!U$7,Energiprognose[År],0))</f>
        <v>11.815099199999999</v>
      </c>
      <c r="V17" s="140">
        <f>U17+Energiberegning[[#This Row],[Besparelse_m²]]*INDEX(Energiprognose[Fjernvarme],MATCH(Energiberegning!V$7,Energiprognose[År],0))</f>
        <v>12.384619199999999</v>
      </c>
      <c r="W17" s="140">
        <f>V17+Energiberegning[[#This Row],[Besparelse_m²]]*INDEX(Energiprognose[Fjernvarme],MATCH(Energiberegning!W$7,Energiprognose[År],0))</f>
        <v>12.949257599999999</v>
      </c>
      <c r="X17" s="140">
        <f>W17+Energiberegning[[#This Row],[Besparelse_m²]]*INDEX(Energiprognose[Fjernvarme],MATCH(Energiberegning!X$7,Energiprognose[År],0))</f>
        <v>13.5090144</v>
      </c>
      <c r="Y17" s="140">
        <f>X17+Energiberegning[[#This Row],[Besparelse_m²]]*INDEX(Energiprognose[Fjernvarme],MATCH(Energiberegning!Y$7,Energiprognose[År],0))</f>
        <v>14.0638896</v>
      </c>
      <c r="Z17" s="140">
        <f>Y17+Energiberegning[[#This Row],[Besparelse_m²]]*INDEX(Energiprognose[Fjernvarme],MATCH(Energiberegning!Z$7,Energiprognose[År],0))</f>
        <v>14.6138832</v>
      </c>
      <c r="AA17" s="140">
        <f>Z17+Energiberegning[[#This Row],[Besparelse_m²]]*INDEX(Energiprognose[Fjernvarme],MATCH(Energiberegning!AA$7,Energiprognose[År],0))</f>
        <v>15.1589952</v>
      </c>
      <c r="AB17" s="140">
        <f>AA17+Energiberegning[[#This Row],[Besparelse_m²]]*INDEX(Energiprognose[Fjernvarme],MATCH(Energiberegning!AB$7,Energiprognose[År],0))</f>
        <v>15.70248</v>
      </c>
      <c r="AC17" s="140">
        <f>AB17+Energiberegning[[#This Row],[Besparelse_m²]]*INDEX(Energiprognose[Fjernvarme],MATCH(Energiberegning!AC$7,Energiprognose[År],0))</f>
        <v>16.244337599999998</v>
      </c>
      <c r="AD17" s="140">
        <f>AC17+Energiberegning[[#This Row],[Besparelse_m²]]*INDEX(Energiprognose[Fjernvarme],MATCH(Energiberegning!AD$7,Energiprognose[År],0))</f>
        <v>16.784567999999997</v>
      </c>
      <c r="AE17" s="140">
        <f>AD17+Energiberegning[[#This Row],[Besparelse_m²]]*INDEX(Energiprognose[Fjernvarme],MATCH(Energiberegning!AE$7,Energiprognose[År],0))</f>
        <v>17.323171199999997</v>
      </c>
      <c r="AF17" s="140">
        <f>AE17+Energiberegning[[#This Row],[Besparelse_m²]]*INDEX(Energiprognose[Fjernvarme],MATCH(Energiberegning!AF$7,Energiprognose[År],0))</f>
        <v>17.860147199999997</v>
      </c>
      <c r="AG17" s="140">
        <f>AF17+Energiberegning[[#This Row],[Besparelse_m²]]*INDEX(Energiprognose[Fjernvarme],MATCH(Energiberegning!AG$7,Energiprognose[År],0))</f>
        <v>18.397123199999996</v>
      </c>
      <c r="AH17" s="140">
        <f>AG17+Energiberegning[[#This Row],[Besparelse_m²]]*INDEX(Energiprognose[Fjernvarme],MATCH(Energiberegning!AH$7,Energiprognose[År],0))</f>
        <v>18.934099199999995</v>
      </c>
      <c r="AI17" s="140">
        <f>AH17+Energiberegning[[#This Row],[Besparelse_m²]]*INDEX(Energiprognose[Fjernvarme],MATCH(Energiberegning!AI$7,Energiprognose[År],0))</f>
        <v>19.471075199999994</v>
      </c>
      <c r="AJ17" s="140">
        <f>AI17+Energiberegning[[#This Row],[Besparelse_m²]]*INDEX(Energiprognose[Fjernvarme],MATCH(Energiberegning!AJ$7,Energiprognose[År],0))</f>
        <v>20.008051199999993</v>
      </c>
      <c r="AK17" s="140">
        <f>AJ17+Energiberegning[[#This Row],[Besparelse_m²]]*INDEX(Energiprognose[Fjernvarme],MATCH(Energiberegning!AK$7,Energiprognose[År],0))</f>
        <v>20.545027199999993</v>
      </c>
      <c r="AL17" s="140">
        <f>AK17+Energiberegning[[#This Row],[Besparelse_m²]]*INDEX(Energiprognose[Fjernvarme],MATCH(Energiberegning!AL$7,Energiprognose[År],0))</f>
        <v>21.082003199999992</v>
      </c>
      <c r="AM17" s="140">
        <f>AL17+Energiberegning[[#This Row],[Besparelse_m²]]*INDEX(Energiprognose[Fjernvarme],MATCH(Energiberegning!AM$7,Energiprognose[År],0))</f>
        <v>21.618979199999991</v>
      </c>
      <c r="AN17" s="140">
        <f>AM17+Energiberegning[[#This Row],[Besparelse_m²]]*INDEX(Energiprognose[Fjernvarme],MATCH(Energiberegning!AN$7,Energiprognose[År],0))</f>
        <v>22.15595519999999</v>
      </c>
      <c r="AO17" s="140">
        <f>AN17+Energiberegning[[#This Row],[Besparelse_m²]]*INDEX(Energiprognose[Fjernvarme],MATCH(Energiberegning!AO$7,Energiprognose[År],0))</f>
        <v>22.69293119999999</v>
      </c>
      <c r="AP17" s="140">
        <f>AO17+Energiberegning[[#This Row],[Besparelse_m²]]*INDEX(Energiprognose[Fjernvarme],MATCH(Energiberegning!AP$7,Energiprognose[År],0))</f>
        <v>23.229907199999989</v>
      </c>
      <c r="AQ17" s="140">
        <f>AP17+Energiberegning[[#This Row],[Besparelse_m²]]*INDEX(Energiprognose[Fjernvarme],MATCH(Energiberegning!AQ$7,Energiprognose[År],0))</f>
        <v>23.766883199999988</v>
      </c>
      <c r="AR17" s="140">
        <f>AQ17+Energiberegning[[#This Row],[Besparelse_m²]]*INDEX(Energiprognose[Fjernvarme],MATCH(Energiberegning!AR$7,Energiprognose[År],0))</f>
        <v>24.303859199999987</v>
      </c>
      <c r="AS17" s="140">
        <f>AR17+Energiberegning[[#This Row],[Besparelse_m²]]*INDEX(Energiprognose[Fjernvarme],MATCH(Energiberegning!AS$7,Energiprognose[År],0))</f>
        <v>24.840835199999987</v>
      </c>
      <c r="AT17" s="140">
        <f>AS17+Energiberegning[[#This Row],[Besparelse_m²]]*INDEX(Energiprognose[Fjernvarme],MATCH(Energiberegning!AT$7,Energiprognose[År],0))</f>
        <v>25.377811199999986</v>
      </c>
      <c r="AU17" s="140">
        <f>AT17+Energiberegning[[#This Row],[Besparelse_m²]]*INDEX(Energiprognose[Fjernvarme],MATCH(Energiberegning!AU$7,Energiprognose[År],0))</f>
        <v>25.914787199999985</v>
      </c>
      <c r="AV17" s="140">
        <f>AU17+Energiberegning[[#This Row],[Besparelse_m²]]*INDEX(Energiprognose[Fjernvarme],MATCH(Energiberegning!AV$7,Energiprognose[År],0))</f>
        <v>26.451763199999984</v>
      </c>
      <c r="AW17" s="140">
        <f>AV17+Energiberegning[[#This Row],[Besparelse_m²]]*INDEX(Energiprognose[Fjernvarme],MATCH(Energiberegning!AW$7,Energiprognose[År],0))</f>
        <v>26.988739199999983</v>
      </c>
      <c r="AX17" s="140">
        <f>AW17+Energiberegning[[#This Row],[Besparelse_m²]]*INDEX(Energiprognose[Fjernvarme],MATCH(Energiberegning!AX$7,Energiprognose[År],0))</f>
        <v>27.525715199999983</v>
      </c>
      <c r="AY17" s="140">
        <f>AX17+Energiberegning[[#This Row],[Besparelse_m²]]*INDEX(Energiprognose[Fjernvarme],MATCH(Energiberegning!AY$7,Energiprognose[År],0))</f>
        <v>28.062691199999982</v>
      </c>
      <c r="AZ17" s="140">
        <f>AY17+Energiberegning[[#This Row],[Besparelse_m²]]*INDEX(Energiprognose[Fjernvarme],MATCH(Energiberegning!AZ$7,Energiprognose[År],0))</f>
        <v>28.599667199999981</v>
      </c>
      <c r="BA17" s="140">
        <f>AZ17+Energiberegning[[#This Row],[Besparelse_m²]]*INDEX(Energiprognose[Fjernvarme],MATCH(Energiberegning!BA$7,Energiprognose[År],0))</f>
        <v>29.13664319999998</v>
      </c>
      <c r="BB17" s="140">
        <f>BA17+Energiberegning[[#This Row],[Besparelse_m²]]*INDEX(Energiprognose[Fjernvarme],MATCH(Energiberegning!BB$7,Energiprognose[År],0))</f>
        <v>29.67361919999998</v>
      </c>
      <c r="BC17" s="140">
        <f>BB17+Energiberegning[[#This Row],[Besparelse_m²]]*INDEX(Energiprognose[Fjernvarme],MATCH(Energiberegning!BC$7,Energiprognose[År],0))</f>
        <v>30.210595199999979</v>
      </c>
      <c r="BD17" s="140">
        <f>BC17+Energiberegning[[#This Row],[Besparelse_m²]]*INDEX(Energiprognose[Fjernvarme],MATCH(Energiberegning!BD$7,Energiprognose[År],0))</f>
        <v>30.747571199999978</v>
      </c>
      <c r="BE17" s="140">
        <f>BD17+Energiberegning[[#This Row],[Besparelse_m²]]*INDEX(Energiprognose[Fjernvarme],MATCH(Energiberegning!BE$7,Energiprognose[År],0))</f>
        <v>31.284547199999977</v>
      </c>
      <c r="BF17" s="140">
        <f>BE17+Energiberegning[[#This Row],[Besparelse_m²]]*INDEX(Energiprognose[Fjernvarme],MATCH(Energiberegning!BF$7,Energiprognose[År],0))</f>
        <v>31.821523199999977</v>
      </c>
      <c r="BG17" s="140">
        <f>BF17+Energiberegning[[#This Row],[Besparelse_m²]]*INDEX(Energiprognose[Fjernvarme],MATCH(Energiberegning!BG$7,Energiprognose[År],0))</f>
        <v>32.358499199999976</v>
      </c>
      <c r="BH17" s="140">
        <f>BG17+Energiberegning[[#This Row],[Besparelse_m²]]*INDEX(Energiprognose[Fjernvarme],MATCH(Energiberegning!BH$7,Energiprognose[År],0))</f>
        <v>32.895475199999979</v>
      </c>
      <c r="BI17" s="140">
        <f>BH17+Energiberegning[[#This Row],[Besparelse_m²]]*INDEX(Energiprognose[Fjernvarme],MATCH(Energiberegning!BI$7,Energiprognose[År],0))</f>
        <v>33.432451199999981</v>
      </c>
      <c r="BJ17" s="140">
        <f>BI17+Energiberegning[[#This Row],[Besparelse_m²]]*INDEX(Energiprognose[Fjernvarme],MATCH(Energiberegning!BJ$7,Energiprognose[År],0))</f>
        <v>33.969427199999984</v>
      </c>
      <c r="BK17" s="140">
        <f>BJ17+Energiberegning[[#This Row],[Besparelse_m²]]*INDEX(Energiprognose[Fjernvarme],MATCH(Energiberegning!BK$7,Energiprognose[År],0))</f>
        <v>34.506403199999987</v>
      </c>
      <c r="BL17" s="140">
        <f>BK17+Energiberegning[[#This Row],[Besparelse_m²]]*INDEX(Energiprognose[Fjernvarme],MATCH(Energiberegning!BL$7,Energiprognose[År],0))</f>
        <v>35.04337919999999</v>
      </c>
      <c r="BM17" s="140">
        <f>BL17+Energiberegning[[#This Row],[Besparelse_m²]]*INDEX(Energiprognose[Fjernvarme],MATCH(Energiberegning!BM$7,Energiprognose[År],0))</f>
        <v>35.580355199999993</v>
      </c>
      <c r="BN17" s="140">
        <f>BM17+Energiberegning[[#This Row],[Besparelse_m²]]*INDEX(Energiprognose[Fjernvarme],MATCH(Energiberegning!BN$7,Energiprognose[År],0))</f>
        <v>36.117331199999995</v>
      </c>
      <c r="BO17" s="140">
        <f>BN17+Energiberegning[[#This Row],[Besparelse_m²]]*INDEX(Energiprognose[Fjernvarme],MATCH(Energiberegning!BO$7,Energiprognose[År],0))</f>
        <v>36.654307199999998</v>
      </c>
      <c r="BP17" s="140">
        <f>BO17+Energiberegning[[#This Row],[Besparelse_m²]]*INDEX(Energiprognose[Fjernvarme],MATCH(Energiberegning!BP$7,Energiprognose[År],0))</f>
        <v>37.191283200000001</v>
      </c>
      <c r="BQ17" s="140">
        <f>BP17+Energiberegning[[#This Row],[Besparelse_m²]]*INDEX(Energiprognose[Fjernvarme],MATCH(Energiberegning!BQ$7,Energiprognose[År],0))</f>
        <v>37.728259200000004</v>
      </c>
      <c r="BR17" s="140">
        <f>BQ17+Energiberegning[[#This Row],[Besparelse_m²]]*INDEX(Energiprognose[Fjernvarme],MATCH(Energiberegning!BR$7,Energiprognose[År],0))</f>
        <v>38.265235200000006</v>
      </c>
      <c r="BS17" s="140">
        <f>BR17+Energiberegning[[#This Row],[Besparelse_m²]]*INDEX(Energiprognose[Fjernvarme],MATCH(Energiberegning!BS$7,Energiprognose[År],0))</f>
        <v>38.802211200000009</v>
      </c>
      <c r="BT17" s="140">
        <f>BS17+Energiberegning[[#This Row],[Besparelse_m²]]*INDEX(Energiprognose[Fjernvarme],MATCH(Energiberegning!BT$7,Energiprognose[År],0))</f>
        <v>39.339187200000012</v>
      </c>
      <c r="BU17" s="140">
        <f>BT17+Energiberegning[[#This Row],[Besparelse_m²]]*INDEX(Energiprognose[Fjernvarme],MATCH(Energiberegning!BU$7,Energiprognose[År],0))</f>
        <v>39.876163200000015</v>
      </c>
      <c r="BV17" s="140">
        <f>BU17+Energiberegning[[#This Row],[Besparelse_m²]]*INDEX(Energiprognose[Fjernvarme],MATCH(Energiberegning!BV$7,Energiprognose[År],0))</f>
        <v>40.413139200000018</v>
      </c>
      <c r="BW17" s="140">
        <f>BV17+Energiberegning[[#This Row],[Besparelse_m²]]*INDEX(Energiprognose[Fjernvarme],MATCH(Energiberegning!BW$7,Energiprognose[År],0))</f>
        <v>40.95011520000002</v>
      </c>
      <c r="BX17" s="140">
        <f>BW17+Energiberegning[[#This Row],[Besparelse_m²]]*INDEX(Energiprognose[Fjernvarme],MATCH(Energiberegning!BX$7,Energiprognose[År],0))</f>
        <v>41.487091200000023</v>
      </c>
      <c r="BY17" s="140">
        <f>BX17+Energiberegning[[#This Row],[Besparelse_m²]]*INDEX(Energiprognose[Fjernvarme],MATCH(Energiberegning!BY$7,Energiprognose[År],0))</f>
        <v>42.024067200000026</v>
      </c>
      <c r="BZ17" s="140">
        <f>BY17+Energiberegning[[#This Row],[Besparelse_m²]]*INDEX(Energiprognose[Fjernvarme],MATCH(Energiberegning!BZ$7,Energiprognose[År],0))</f>
        <v>42.561043200000029</v>
      </c>
      <c r="CA17" s="140">
        <f>BZ17+Energiberegning[[#This Row],[Besparelse_m²]]*INDEX(Energiprognose[Fjernvarme],MATCH(Energiberegning!CA$7,Energiprognose[År],0))</f>
        <v>43.098019200000032</v>
      </c>
      <c r="CB17" s="140">
        <f>CA17+Energiberegning[[#This Row],[Besparelse_m²]]*INDEX(Energiprognose[Fjernvarme],MATCH(Energiberegning!CB$7,Energiprognose[År],0))</f>
        <v>43.634995200000034</v>
      </c>
      <c r="CC17" s="140">
        <f>CB17+Energiberegning[[#This Row],[Besparelse_m²]]*INDEX(Energiprognose[Fjernvarme],MATCH(Energiberegning!CC$7,Energiprognose[År],0))</f>
        <v>44.171971200000037</v>
      </c>
      <c r="CD17" s="140">
        <f>CC17+Energiberegning[[#This Row],[Besparelse_m²]]*INDEX(Energiprognose[Fjernvarme],MATCH(Energiberegning!CD$7,Energiprognose[År],0))</f>
        <v>44.70894720000004</v>
      </c>
      <c r="CE17" s="140">
        <f>CD17+Energiberegning[[#This Row],[Besparelse_m²]]*INDEX(Energiprognose[Fjernvarme],MATCH(Energiberegning!CE$7,Energiprognose[År],0))</f>
        <v>45.245923200000043</v>
      </c>
      <c r="CF17" s="140">
        <f>CE17+Energiberegning[[#This Row],[Besparelse_m²]]*INDEX(Energiprognose[Fjernvarme],MATCH(Energiberegning!CF$7,Energiprognose[År],0))</f>
        <v>45.782899200000045</v>
      </c>
      <c r="CG17" s="140">
        <f>CF17+Energiberegning[[#This Row],[Besparelse_m²]]*INDEX(Energiprognose[Fjernvarme],MATCH(Energiberegning!CG$7,Energiprognose[År],0))</f>
        <v>46.319875200000048</v>
      </c>
      <c r="CH17" s="140">
        <f>CG17+Energiberegning[[#This Row],[Besparelse_m²]]*INDEX(Energiprognose[Fjernvarme],MATCH(Energiberegning!CH$7,Energiprognose[År],0))</f>
        <v>46.856851200000051</v>
      </c>
      <c r="CI17" s="140">
        <f>CH17+Energiberegning[[#This Row],[Besparelse_m²]]*INDEX(Energiprognose[Fjernvarme],MATCH(Energiberegning!CI$7,Energiprognose[År],0))</f>
        <v>47.393827200000054</v>
      </c>
      <c r="CJ17" s="140">
        <f>CI17+Energiberegning[[#This Row],[Besparelse_m²]]*INDEX(Energiprognose[Fjernvarme],MATCH(Energiberegning!CJ$7,Energiprognose[År],0))</f>
        <v>47.930803200000057</v>
      </c>
      <c r="CK17" s="140">
        <f>CJ17+Energiberegning[[#This Row],[Besparelse_m²]]*INDEX(Energiprognose[Fjernvarme],MATCH(Energiberegning!CK$7,Energiprognose[År],0))</f>
        <v>48.467779200000059</v>
      </c>
      <c r="CL17" s="140">
        <f>CK17+Energiberegning[[#This Row],[Besparelse_m²]]*INDEX(Energiprognose[Fjernvarme],MATCH(Energiberegning!CL$7,Energiprognose[År],0))</f>
        <v>49.004755200000062</v>
      </c>
      <c r="CM17" s="140">
        <f>CL17+Energiberegning[[#This Row],[Besparelse_m²]]*INDEX(Energiprognose[Fjernvarme],MATCH(Energiberegning!CM$7,Energiprognose[År],0))</f>
        <v>49.541731200000065</v>
      </c>
      <c r="CN17" s="19"/>
    </row>
    <row r="18" spans="1:92">
      <c r="A18" t="s">
        <v>529</v>
      </c>
      <c r="B18" s="139">
        <f>_xlfn.NUMBERVALUE(LEFT(Energiberegning[[#This Row],[Ydervæg]],2))</f>
        <v>48</v>
      </c>
      <c r="C18">
        <v>100</v>
      </c>
      <c r="D18">
        <v>100</v>
      </c>
      <c r="E18">
        <f>Energiberegning[[#This Row],[Nuværende isolering]]+Energiberegning[[#This Row],[Efterisolering]]</f>
        <v>200</v>
      </c>
      <c r="F18">
        <v>0.42</v>
      </c>
      <c r="G18">
        <v>0.16</v>
      </c>
      <c r="H18" s="120">
        <v>25200</v>
      </c>
      <c r="I18">
        <f>Energiberegning[[#This Row],[Besparelse_1000_m²]]/1000</f>
        <v>25.2</v>
      </c>
      <c r="J18" s="159">
        <v>0</v>
      </c>
      <c r="K18" s="152">
        <f>Energiberegning[[#This Row],[Besparelse_m²]]*INDEX(Energiprognose[Fjernvarme],MATCH(Energiberegning!K$7,Energiprognose[År],0))</f>
        <v>1.1728079999999999</v>
      </c>
      <c r="L18" s="140">
        <f>K18+Energiberegning[[#This Row],[Besparelse_m²]]*INDEX(Energiprognose[Fjernvarme],MATCH(Energiberegning!L$7,Energiprognose[År],0))</f>
        <v>2.2261679999999995</v>
      </c>
      <c r="M18" s="140">
        <f>L18+Energiberegning[[#This Row],[Besparelse_m²]]*INDEX(Energiprognose[Fjernvarme],MATCH(Energiberegning!M$7,Energiprognose[År],0))</f>
        <v>3.1600799999999993</v>
      </c>
      <c r="N18" s="140">
        <f>M18+Energiberegning[[#This Row],[Besparelse_m²]]*INDEX(Energiprognose[Fjernvarme],MATCH(Energiberegning!N$7,Energiprognose[År],0))</f>
        <v>3.974543999999999</v>
      </c>
      <c r="O18" s="140">
        <f>N18+Energiberegning[[#This Row],[Besparelse_m²]]*INDEX(Energiprognose[Fjernvarme],MATCH(Energiberegning!O$7,Energiprognose[År],0))</f>
        <v>4.6695599999999988</v>
      </c>
      <c r="P18" s="140">
        <f>O18+Energiberegning[[#This Row],[Besparelse_m²]]*INDEX(Energiprognose[Fjernvarme],MATCH(Energiberegning!P$7,Energiprognose[År],0))</f>
        <v>5.2451279999999985</v>
      </c>
      <c r="Q18" s="140">
        <f>P18+Energiberegning[[#This Row],[Besparelse_m²]]*INDEX(Energiprognose[Fjernvarme],MATCH(Energiberegning!Q$7,Energiprognose[År],0))</f>
        <v>5.7012479999999988</v>
      </c>
      <c r="R18" s="140">
        <f>Q18+Energiberegning[[#This Row],[Besparelse_m²]]*INDEX(Energiprognose[Fjernvarme],MATCH(Energiberegning!R$7,Energiprognose[År],0))</f>
        <v>6.136703999999999</v>
      </c>
      <c r="S18" s="140">
        <f>R18+Energiberegning[[#This Row],[Besparelse_m²]]*INDEX(Energiprognose[Fjernvarme],MATCH(Energiberegning!S$7,Energiprognose[År],0))</f>
        <v>6.5514959999999993</v>
      </c>
      <c r="T18" s="140">
        <f>S18+Energiberegning[[#This Row],[Besparelse_m²]]*INDEX(Energiprognose[Fjernvarme],MATCH(Energiberegning!T$7,Energiprognose[År],0))</f>
        <v>6.9456239999999996</v>
      </c>
      <c r="U18" s="140">
        <f>T18+Energiberegning[[#This Row],[Besparelse_m²]]*INDEX(Energiprognose[Fjernvarme],MATCH(Energiberegning!U$7,Energiprognose[År],0))</f>
        <v>7.3190879999999998</v>
      </c>
      <c r="V18" s="140">
        <f>U18+Energiberegning[[#This Row],[Besparelse_m²]]*INDEX(Energiprognose[Fjernvarme],MATCH(Energiberegning!V$7,Energiprognose[År],0))</f>
        <v>7.671888</v>
      </c>
      <c r="W18" s="140">
        <f>V18+Energiberegning[[#This Row],[Besparelse_m²]]*INDEX(Energiprognose[Fjernvarme],MATCH(Energiberegning!W$7,Energiprognose[År],0))</f>
        <v>8.0216639999999995</v>
      </c>
      <c r="X18" s="140">
        <f>W18+Energiberegning[[#This Row],[Besparelse_m²]]*INDEX(Energiprognose[Fjernvarme],MATCH(Energiberegning!X$7,Energiprognose[År],0))</f>
        <v>8.3684159999999999</v>
      </c>
      <c r="Y18" s="140">
        <f>X18+Energiberegning[[#This Row],[Besparelse_m²]]*INDEX(Energiprognose[Fjernvarme],MATCH(Energiberegning!Y$7,Energiprognose[År],0))</f>
        <v>8.7121440000000003</v>
      </c>
      <c r="Z18" s="140">
        <f>Y18+Energiberegning[[#This Row],[Besparelse_m²]]*INDEX(Energiprognose[Fjernvarme],MATCH(Energiberegning!Z$7,Energiprognose[År],0))</f>
        <v>9.0528480000000009</v>
      </c>
      <c r="AA18" s="140">
        <f>Z18+Energiberegning[[#This Row],[Besparelse_m²]]*INDEX(Energiprognose[Fjernvarme],MATCH(Energiberegning!AA$7,Energiprognose[År],0))</f>
        <v>9.3905280000000015</v>
      </c>
      <c r="AB18" s="140">
        <f>AA18+Energiberegning[[#This Row],[Besparelse_m²]]*INDEX(Energiprognose[Fjernvarme],MATCH(Energiberegning!AB$7,Energiprognose[År],0))</f>
        <v>9.7272000000000016</v>
      </c>
      <c r="AC18" s="140">
        <f>AB18+Energiberegning[[#This Row],[Besparelse_m²]]*INDEX(Energiprognose[Fjernvarme],MATCH(Energiberegning!AC$7,Energiprognose[År],0))</f>
        <v>10.062864000000001</v>
      </c>
      <c r="AD18" s="140">
        <f>AC18+Energiberegning[[#This Row],[Besparelse_m²]]*INDEX(Energiprognose[Fjernvarme],MATCH(Energiberegning!AD$7,Energiprognose[År],0))</f>
        <v>10.397520000000002</v>
      </c>
      <c r="AE18" s="140">
        <f>AD18+Energiberegning[[#This Row],[Besparelse_m²]]*INDEX(Energiprognose[Fjernvarme],MATCH(Energiberegning!AE$7,Energiprognose[År],0))</f>
        <v>10.731168000000002</v>
      </c>
      <c r="AF18" s="140">
        <f>AE18+Energiberegning[[#This Row],[Besparelse_m²]]*INDEX(Energiprognose[Fjernvarme],MATCH(Energiberegning!AF$7,Energiprognose[År],0))</f>
        <v>11.063808000000002</v>
      </c>
      <c r="AG18" s="140">
        <f>AF18+Energiberegning[[#This Row],[Besparelse_m²]]*INDEX(Energiprognose[Fjernvarme],MATCH(Energiberegning!AG$7,Energiprognose[År],0))</f>
        <v>11.396448000000001</v>
      </c>
      <c r="AH18" s="140">
        <f>AG18+Energiberegning[[#This Row],[Besparelse_m²]]*INDEX(Energiprognose[Fjernvarme],MATCH(Energiberegning!AH$7,Energiprognose[År],0))</f>
        <v>11.729088000000001</v>
      </c>
      <c r="AI18" s="140">
        <f>AH18+Energiberegning[[#This Row],[Besparelse_m²]]*INDEX(Energiprognose[Fjernvarme],MATCH(Energiberegning!AI$7,Energiprognose[År],0))</f>
        <v>12.061728</v>
      </c>
      <c r="AJ18" s="140">
        <f>AI18+Energiberegning[[#This Row],[Besparelse_m²]]*INDEX(Energiprognose[Fjernvarme],MATCH(Energiberegning!AJ$7,Energiprognose[År],0))</f>
        <v>12.394368</v>
      </c>
      <c r="AK18" s="140">
        <f>AJ18+Energiberegning[[#This Row],[Besparelse_m²]]*INDEX(Energiprognose[Fjernvarme],MATCH(Energiberegning!AK$7,Energiprognose[År],0))</f>
        <v>12.727008</v>
      </c>
      <c r="AL18" s="140">
        <f>AK18+Energiberegning[[#This Row],[Besparelse_m²]]*INDEX(Energiprognose[Fjernvarme],MATCH(Energiberegning!AL$7,Energiprognose[År],0))</f>
        <v>13.059647999999999</v>
      </c>
      <c r="AM18" s="140">
        <f>AL18+Energiberegning[[#This Row],[Besparelse_m²]]*INDEX(Energiprognose[Fjernvarme],MATCH(Energiberegning!AM$7,Energiprognose[År],0))</f>
        <v>13.392287999999999</v>
      </c>
      <c r="AN18" s="140">
        <f>AM18+Energiberegning[[#This Row],[Besparelse_m²]]*INDEX(Energiprognose[Fjernvarme],MATCH(Energiberegning!AN$7,Energiprognose[År],0))</f>
        <v>13.724927999999998</v>
      </c>
      <c r="AO18" s="140">
        <f>AN18+Energiberegning[[#This Row],[Besparelse_m²]]*INDEX(Energiprognose[Fjernvarme],MATCH(Energiberegning!AO$7,Energiprognose[År],0))</f>
        <v>14.057567999999998</v>
      </c>
      <c r="AP18" s="140">
        <f>AO18+Energiberegning[[#This Row],[Besparelse_m²]]*INDEX(Energiprognose[Fjernvarme],MATCH(Energiberegning!AP$7,Energiprognose[År],0))</f>
        <v>14.390207999999998</v>
      </c>
      <c r="AQ18" s="140">
        <f>AP18+Energiberegning[[#This Row],[Besparelse_m²]]*INDEX(Energiprognose[Fjernvarme],MATCH(Energiberegning!AQ$7,Energiprognose[År],0))</f>
        <v>14.722847999999997</v>
      </c>
      <c r="AR18" s="140">
        <f>AQ18+Energiberegning[[#This Row],[Besparelse_m²]]*INDEX(Energiprognose[Fjernvarme],MATCH(Energiberegning!AR$7,Energiprognose[År],0))</f>
        <v>15.055487999999997</v>
      </c>
      <c r="AS18" s="140">
        <f>AR18+Energiberegning[[#This Row],[Besparelse_m²]]*INDEX(Energiprognose[Fjernvarme],MATCH(Energiberegning!AS$7,Energiprognose[År],0))</f>
        <v>15.388127999999996</v>
      </c>
      <c r="AT18" s="140">
        <f>AS18+Energiberegning[[#This Row],[Besparelse_m²]]*INDEX(Energiprognose[Fjernvarme],MATCH(Energiberegning!AT$7,Energiprognose[År],0))</f>
        <v>15.720767999999996</v>
      </c>
      <c r="AU18" s="140">
        <f>AT18+Energiberegning[[#This Row],[Besparelse_m²]]*INDEX(Energiprognose[Fjernvarme],MATCH(Energiberegning!AU$7,Energiprognose[År],0))</f>
        <v>16.053407999999997</v>
      </c>
      <c r="AV18" s="140">
        <f>AU18+Energiberegning[[#This Row],[Besparelse_m²]]*INDEX(Energiprognose[Fjernvarme],MATCH(Energiberegning!AV$7,Energiprognose[År],0))</f>
        <v>16.386047999999999</v>
      </c>
      <c r="AW18" s="140">
        <f>AV18+Energiberegning[[#This Row],[Besparelse_m²]]*INDEX(Energiprognose[Fjernvarme],MATCH(Energiberegning!AW$7,Energiprognose[År],0))</f>
        <v>16.718688</v>
      </c>
      <c r="AX18" s="140">
        <f>AW18+Energiberegning[[#This Row],[Besparelse_m²]]*INDEX(Energiprognose[Fjernvarme],MATCH(Energiberegning!AX$7,Energiprognose[År],0))</f>
        <v>17.051328000000002</v>
      </c>
      <c r="AY18" s="140">
        <f>AX18+Energiberegning[[#This Row],[Besparelse_m²]]*INDEX(Energiprognose[Fjernvarme],MATCH(Energiberegning!AY$7,Energiprognose[År],0))</f>
        <v>17.383968000000003</v>
      </c>
      <c r="AZ18" s="140">
        <f>AY18+Energiberegning[[#This Row],[Besparelse_m²]]*INDEX(Energiprognose[Fjernvarme],MATCH(Energiberegning!AZ$7,Energiprognose[År],0))</f>
        <v>17.716608000000004</v>
      </c>
      <c r="BA18" s="140">
        <f>AZ18+Energiberegning[[#This Row],[Besparelse_m²]]*INDEX(Energiprognose[Fjernvarme],MATCH(Energiberegning!BA$7,Energiprognose[År],0))</f>
        <v>18.049248000000006</v>
      </c>
      <c r="BB18" s="140">
        <f>BA18+Energiberegning[[#This Row],[Besparelse_m²]]*INDEX(Energiprognose[Fjernvarme],MATCH(Energiberegning!BB$7,Energiprognose[År],0))</f>
        <v>18.381888000000007</v>
      </c>
      <c r="BC18" s="140">
        <f>BB18+Energiberegning[[#This Row],[Besparelse_m²]]*INDEX(Energiprognose[Fjernvarme],MATCH(Energiberegning!BC$7,Energiprognose[År],0))</f>
        <v>18.714528000000008</v>
      </c>
      <c r="BD18" s="140">
        <f>BC18+Energiberegning[[#This Row],[Besparelse_m²]]*INDEX(Energiprognose[Fjernvarme],MATCH(Energiberegning!BD$7,Energiprognose[År],0))</f>
        <v>19.04716800000001</v>
      </c>
      <c r="BE18" s="140">
        <f>BD18+Energiberegning[[#This Row],[Besparelse_m²]]*INDEX(Energiprognose[Fjernvarme],MATCH(Energiberegning!BE$7,Energiprognose[År],0))</f>
        <v>19.379808000000011</v>
      </c>
      <c r="BF18" s="140">
        <f>BE18+Energiberegning[[#This Row],[Besparelse_m²]]*INDEX(Energiprognose[Fjernvarme],MATCH(Energiberegning!BF$7,Energiprognose[År],0))</f>
        <v>19.712448000000013</v>
      </c>
      <c r="BG18" s="140">
        <f>BF18+Energiberegning[[#This Row],[Besparelse_m²]]*INDEX(Energiprognose[Fjernvarme],MATCH(Energiberegning!BG$7,Energiprognose[År],0))</f>
        <v>20.045088000000014</v>
      </c>
      <c r="BH18" s="140">
        <f>BG18+Energiberegning[[#This Row],[Besparelse_m²]]*INDEX(Energiprognose[Fjernvarme],MATCH(Energiberegning!BH$7,Energiprognose[År],0))</f>
        <v>20.377728000000015</v>
      </c>
      <c r="BI18" s="140">
        <f>BH18+Energiberegning[[#This Row],[Besparelse_m²]]*INDEX(Energiprognose[Fjernvarme],MATCH(Energiberegning!BI$7,Energiprognose[År],0))</f>
        <v>20.710368000000017</v>
      </c>
      <c r="BJ18" s="140">
        <f>BI18+Energiberegning[[#This Row],[Besparelse_m²]]*INDEX(Energiprognose[Fjernvarme],MATCH(Energiberegning!BJ$7,Energiprognose[År],0))</f>
        <v>21.043008000000018</v>
      </c>
      <c r="BK18" s="140">
        <f>BJ18+Energiberegning[[#This Row],[Besparelse_m²]]*INDEX(Energiprognose[Fjernvarme],MATCH(Energiberegning!BK$7,Energiprognose[År],0))</f>
        <v>21.37564800000002</v>
      </c>
      <c r="BL18" s="140">
        <f>BK18+Energiberegning[[#This Row],[Besparelse_m²]]*INDEX(Energiprognose[Fjernvarme],MATCH(Energiberegning!BL$7,Energiprognose[År],0))</f>
        <v>21.708288000000021</v>
      </c>
      <c r="BM18" s="140">
        <f>BL18+Energiberegning[[#This Row],[Besparelse_m²]]*INDEX(Energiprognose[Fjernvarme],MATCH(Energiberegning!BM$7,Energiprognose[År],0))</f>
        <v>22.040928000000022</v>
      </c>
      <c r="BN18" s="140">
        <f>BM18+Energiberegning[[#This Row],[Besparelse_m²]]*INDEX(Energiprognose[Fjernvarme],MATCH(Energiberegning!BN$7,Energiprognose[År],0))</f>
        <v>22.373568000000024</v>
      </c>
      <c r="BO18" s="140">
        <f>BN18+Energiberegning[[#This Row],[Besparelse_m²]]*INDEX(Energiprognose[Fjernvarme],MATCH(Energiberegning!BO$7,Energiprognose[År],0))</f>
        <v>22.706208000000025</v>
      </c>
      <c r="BP18" s="140">
        <f>BO18+Energiberegning[[#This Row],[Besparelse_m²]]*INDEX(Energiprognose[Fjernvarme],MATCH(Energiberegning!BP$7,Energiprognose[År],0))</f>
        <v>23.038848000000026</v>
      </c>
      <c r="BQ18" s="140">
        <f>BP18+Energiberegning[[#This Row],[Besparelse_m²]]*INDEX(Energiprognose[Fjernvarme],MATCH(Energiberegning!BQ$7,Energiprognose[År],0))</f>
        <v>23.371488000000028</v>
      </c>
      <c r="BR18" s="140">
        <f>BQ18+Energiberegning[[#This Row],[Besparelse_m²]]*INDEX(Energiprognose[Fjernvarme],MATCH(Energiberegning!BR$7,Energiprognose[År],0))</f>
        <v>23.704128000000029</v>
      </c>
      <c r="BS18" s="140">
        <f>BR18+Energiberegning[[#This Row],[Besparelse_m²]]*INDEX(Energiprognose[Fjernvarme],MATCH(Energiberegning!BS$7,Energiprognose[År],0))</f>
        <v>24.036768000000031</v>
      </c>
      <c r="BT18" s="140">
        <f>BS18+Energiberegning[[#This Row],[Besparelse_m²]]*INDEX(Energiprognose[Fjernvarme],MATCH(Energiberegning!BT$7,Energiprognose[År],0))</f>
        <v>24.369408000000032</v>
      </c>
      <c r="BU18" s="140">
        <f>BT18+Energiberegning[[#This Row],[Besparelse_m²]]*INDEX(Energiprognose[Fjernvarme],MATCH(Energiberegning!BU$7,Energiprognose[År],0))</f>
        <v>24.702048000000033</v>
      </c>
      <c r="BV18" s="140">
        <f>BU18+Energiberegning[[#This Row],[Besparelse_m²]]*INDEX(Energiprognose[Fjernvarme],MATCH(Energiberegning!BV$7,Energiprognose[År],0))</f>
        <v>25.034688000000035</v>
      </c>
      <c r="BW18" s="140">
        <f>BV18+Energiberegning[[#This Row],[Besparelse_m²]]*INDEX(Energiprognose[Fjernvarme],MATCH(Energiberegning!BW$7,Energiprognose[År],0))</f>
        <v>25.367328000000036</v>
      </c>
      <c r="BX18" s="140">
        <f>BW18+Energiberegning[[#This Row],[Besparelse_m²]]*INDEX(Energiprognose[Fjernvarme],MATCH(Energiberegning!BX$7,Energiprognose[År],0))</f>
        <v>25.699968000000037</v>
      </c>
      <c r="BY18" s="140">
        <f>BX18+Energiberegning[[#This Row],[Besparelse_m²]]*INDEX(Energiprognose[Fjernvarme],MATCH(Energiberegning!BY$7,Energiprognose[År],0))</f>
        <v>26.032608000000039</v>
      </c>
      <c r="BZ18" s="140">
        <f>BY18+Energiberegning[[#This Row],[Besparelse_m²]]*INDEX(Energiprognose[Fjernvarme],MATCH(Energiberegning!BZ$7,Energiprognose[År],0))</f>
        <v>26.36524800000004</v>
      </c>
      <c r="CA18" s="140">
        <f>BZ18+Energiberegning[[#This Row],[Besparelse_m²]]*INDEX(Energiprognose[Fjernvarme],MATCH(Energiberegning!CA$7,Energiprognose[År],0))</f>
        <v>26.697888000000042</v>
      </c>
      <c r="CB18" s="140">
        <f>CA18+Energiberegning[[#This Row],[Besparelse_m²]]*INDEX(Energiprognose[Fjernvarme],MATCH(Energiberegning!CB$7,Energiprognose[År],0))</f>
        <v>27.030528000000043</v>
      </c>
      <c r="CC18" s="140">
        <f>CB18+Energiberegning[[#This Row],[Besparelse_m²]]*INDEX(Energiprognose[Fjernvarme],MATCH(Energiberegning!CC$7,Energiprognose[År],0))</f>
        <v>27.363168000000044</v>
      </c>
      <c r="CD18" s="140">
        <f>CC18+Energiberegning[[#This Row],[Besparelse_m²]]*INDEX(Energiprognose[Fjernvarme],MATCH(Energiberegning!CD$7,Energiprognose[År],0))</f>
        <v>27.695808000000046</v>
      </c>
      <c r="CE18" s="140">
        <f>CD18+Energiberegning[[#This Row],[Besparelse_m²]]*INDEX(Energiprognose[Fjernvarme],MATCH(Energiberegning!CE$7,Energiprognose[År],0))</f>
        <v>28.028448000000047</v>
      </c>
      <c r="CF18" s="140">
        <f>CE18+Energiberegning[[#This Row],[Besparelse_m²]]*INDEX(Energiprognose[Fjernvarme],MATCH(Energiberegning!CF$7,Energiprognose[År],0))</f>
        <v>28.361088000000048</v>
      </c>
      <c r="CG18" s="140">
        <f>CF18+Energiberegning[[#This Row],[Besparelse_m²]]*INDEX(Energiprognose[Fjernvarme],MATCH(Energiberegning!CG$7,Energiprognose[År],0))</f>
        <v>28.69372800000005</v>
      </c>
      <c r="CH18" s="140">
        <f>CG18+Energiberegning[[#This Row],[Besparelse_m²]]*INDEX(Energiprognose[Fjernvarme],MATCH(Energiberegning!CH$7,Energiprognose[År],0))</f>
        <v>29.026368000000051</v>
      </c>
      <c r="CI18" s="140">
        <f>CH18+Energiberegning[[#This Row],[Besparelse_m²]]*INDEX(Energiprognose[Fjernvarme],MATCH(Energiberegning!CI$7,Energiprognose[År],0))</f>
        <v>29.359008000000053</v>
      </c>
      <c r="CJ18" s="140">
        <f>CI18+Energiberegning[[#This Row],[Besparelse_m²]]*INDEX(Energiprognose[Fjernvarme],MATCH(Energiberegning!CJ$7,Energiprognose[År],0))</f>
        <v>29.691648000000054</v>
      </c>
      <c r="CK18" s="140">
        <f>CJ18+Energiberegning[[#This Row],[Besparelse_m²]]*INDEX(Energiprognose[Fjernvarme],MATCH(Energiberegning!CK$7,Energiprognose[År],0))</f>
        <v>30.024288000000055</v>
      </c>
      <c r="CL18" s="140">
        <f>CK18+Energiberegning[[#This Row],[Besparelse_m²]]*INDEX(Energiprognose[Fjernvarme],MATCH(Energiberegning!CL$7,Energiprognose[År],0))</f>
        <v>30.356928000000057</v>
      </c>
      <c r="CM18" s="140">
        <f>CL18+Energiberegning[[#This Row],[Besparelse_m²]]*INDEX(Energiprognose[Fjernvarme],MATCH(Energiberegning!CM$7,Energiprognose[År],0))</f>
        <v>30.689568000000058</v>
      </c>
      <c r="CN18" s="19"/>
    </row>
    <row r="19" spans="1:92">
      <c r="A19" t="s">
        <v>530</v>
      </c>
      <c r="B19" s="139">
        <f>_xlfn.NUMBERVALUE(LEFT(Energiberegning[[#This Row],[Ydervæg]],2))</f>
        <v>48</v>
      </c>
      <c r="C19">
        <v>100</v>
      </c>
      <c r="D19">
        <v>200</v>
      </c>
      <c r="E19">
        <f>Energiberegning[[#This Row],[Nuværende isolering]]+Energiberegning[[#This Row],[Efterisolering]]</f>
        <v>300</v>
      </c>
      <c r="G19">
        <v>0.12</v>
      </c>
      <c r="H19" s="120">
        <v>29160</v>
      </c>
      <c r="I19">
        <f>Energiberegning[[#This Row],[Besparelse_1000_m²]]/1000</f>
        <v>29.16</v>
      </c>
      <c r="J19" s="159">
        <v>0</v>
      </c>
      <c r="K19" s="152">
        <f>Energiberegning[[#This Row],[Besparelse_m²]]*INDEX(Energiprognose[Fjernvarme],MATCH(Energiberegning!K$7,Energiprognose[År],0))</f>
        <v>1.3571063999999999</v>
      </c>
      <c r="L19" s="140">
        <f>K19+Energiberegning[[#This Row],[Besparelse_m²]]*INDEX(Energiprognose[Fjernvarme],MATCH(Energiberegning!L$7,Energiprognose[År],0))</f>
        <v>2.5759943999999999</v>
      </c>
      <c r="M19" s="140">
        <f>L19+Energiberegning[[#This Row],[Besparelse_m²]]*INDEX(Energiprognose[Fjernvarme],MATCH(Energiberegning!M$7,Energiprognose[År],0))</f>
        <v>3.6566639999999997</v>
      </c>
      <c r="N19" s="140">
        <f>M19+Energiberegning[[#This Row],[Besparelse_m²]]*INDEX(Energiprognose[Fjernvarme],MATCH(Energiberegning!N$7,Energiprognose[År],0))</f>
        <v>4.5991152</v>
      </c>
      <c r="O19" s="140">
        <f>N19+Energiberegning[[#This Row],[Besparelse_m²]]*INDEX(Energiprognose[Fjernvarme],MATCH(Energiberegning!O$7,Energiprognose[År],0))</f>
        <v>5.4033479999999994</v>
      </c>
      <c r="P19" s="140">
        <f>O19+Energiberegning[[#This Row],[Besparelse_m²]]*INDEX(Energiprognose[Fjernvarme],MATCH(Energiberegning!P$7,Energiprognose[År],0))</f>
        <v>6.0693623999999993</v>
      </c>
      <c r="Q19" s="140">
        <f>P19+Energiberegning[[#This Row],[Besparelse_m²]]*INDEX(Energiprognose[Fjernvarme],MATCH(Energiberegning!Q$7,Energiprognose[År],0))</f>
        <v>6.5971583999999996</v>
      </c>
      <c r="R19" s="140">
        <f>Q19+Energiberegning[[#This Row],[Besparelse_m²]]*INDEX(Energiprognose[Fjernvarme],MATCH(Energiberegning!R$7,Energiprognose[År],0))</f>
        <v>7.1010431999999994</v>
      </c>
      <c r="S19" s="140">
        <f>R19+Energiberegning[[#This Row],[Besparelse_m²]]*INDEX(Energiprognose[Fjernvarme],MATCH(Energiberegning!S$7,Energiprognose[År],0))</f>
        <v>7.5810167999999996</v>
      </c>
      <c r="T19" s="140">
        <f>S19+Energiberegning[[#This Row],[Besparelse_m²]]*INDEX(Energiprognose[Fjernvarme],MATCH(Energiberegning!T$7,Energiprognose[År],0))</f>
        <v>8.0370791999999991</v>
      </c>
      <c r="U19" s="140">
        <f>T19+Energiberegning[[#This Row],[Besparelse_m²]]*INDEX(Energiprognose[Fjernvarme],MATCH(Energiberegning!U$7,Energiprognose[År],0))</f>
        <v>8.4692303999999989</v>
      </c>
      <c r="V19" s="140">
        <f>U19+Energiberegning[[#This Row],[Besparelse_m²]]*INDEX(Energiprognose[Fjernvarme],MATCH(Energiberegning!V$7,Energiprognose[År],0))</f>
        <v>8.8774703999999982</v>
      </c>
      <c r="W19" s="140">
        <f>V19+Energiberegning[[#This Row],[Besparelse_m²]]*INDEX(Energiprognose[Fjernvarme],MATCH(Energiberegning!W$7,Energiprognose[År],0))</f>
        <v>9.282211199999999</v>
      </c>
      <c r="X19" s="140">
        <f>W19+Energiberegning[[#This Row],[Besparelse_m²]]*INDEX(Energiprognose[Fjernvarme],MATCH(Energiberegning!X$7,Energiprognose[År],0))</f>
        <v>9.6834527999999995</v>
      </c>
      <c r="Y19" s="140">
        <f>X19+Energiberegning[[#This Row],[Besparelse_m²]]*INDEX(Energiprognose[Fjernvarme],MATCH(Energiberegning!Y$7,Energiprognose[År],0))</f>
        <v>10.0811952</v>
      </c>
      <c r="Z19" s="140">
        <f>Y19+Energiberegning[[#This Row],[Besparelse_m²]]*INDEX(Energiprognose[Fjernvarme],MATCH(Energiberegning!Z$7,Energiprognose[År],0))</f>
        <v>10.4754384</v>
      </c>
      <c r="AA19" s="140">
        <f>Z19+Energiberegning[[#This Row],[Besparelse_m²]]*INDEX(Energiprognose[Fjernvarme],MATCH(Energiberegning!AA$7,Energiprognose[År],0))</f>
        <v>10.8661824</v>
      </c>
      <c r="AB19" s="140">
        <f>AA19+Energiberegning[[#This Row],[Besparelse_m²]]*INDEX(Energiprognose[Fjernvarme],MATCH(Energiberegning!AB$7,Energiprognose[År],0))</f>
        <v>11.25576</v>
      </c>
      <c r="AC19" s="140">
        <f>AB19+Energiberegning[[#This Row],[Besparelse_m²]]*INDEX(Energiprognose[Fjernvarme],MATCH(Energiberegning!AC$7,Energiprognose[År],0))</f>
        <v>11.644171200000001</v>
      </c>
      <c r="AD19" s="140">
        <f>AC19+Energiberegning[[#This Row],[Besparelse_m²]]*INDEX(Energiprognose[Fjernvarme],MATCH(Energiberegning!AD$7,Energiprognose[År],0))</f>
        <v>12.031416</v>
      </c>
      <c r="AE19" s="140">
        <f>AD19+Energiberegning[[#This Row],[Besparelse_m²]]*INDEX(Energiprognose[Fjernvarme],MATCH(Energiberegning!AE$7,Energiprognose[År],0))</f>
        <v>12.417494400000001</v>
      </c>
      <c r="AF19" s="140">
        <f>AE19+Energiberegning[[#This Row],[Besparelse_m²]]*INDEX(Energiprognose[Fjernvarme],MATCH(Energiberegning!AF$7,Energiprognose[År],0))</f>
        <v>12.802406400000001</v>
      </c>
      <c r="AG19" s="140">
        <f>AF19+Energiberegning[[#This Row],[Besparelse_m²]]*INDEX(Energiprognose[Fjernvarme],MATCH(Energiberegning!AG$7,Energiprognose[År],0))</f>
        <v>13.187318400000001</v>
      </c>
      <c r="AH19" s="140">
        <f>AG19+Energiberegning[[#This Row],[Besparelse_m²]]*INDEX(Energiprognose[Fjernvarme],MATCH(Energiberegning!AH$7,Energiprognose[År],0))</f>
        <v>13.5722304</v>
      </c>
      <c r="AI19" s="140">
        <f>AH19+Energiberegning[[#This Row],[Besparelse_m²]]*INDEX(Energiprognose[Fjernvarme],MATCH(Energiberegning!AI$7,Energiprognose[År],0))</f>
        <v>13.9571424</v>
      </c>
      <c r="AJ19" s="140">
        <f>AI19+Energiberegning[[#This Row],[Besparelse_m²]]*INDEX(Energiprognose[Fjernvarme],MATCH(Energiberegning!AJ$7,Energiprognose[År],0))</f>
        <v>14.3420544</v>
      </c>
      <c r="AK19" s="140">
        <f>AJ19+Energiberegning[[#This Row],[Besparelse_m²]]*INDEX(Energiprognose[Fjernvarme],MATCH(Energiberegning!AK$7,Energiprognose[År],0))</f>
        <v>14.7269664</v>
      </c>
      <c r="AL19" s="140">
        <f>AK19+Energiberegning[[#This Row],[Besparelse_m²]]*INDEX(Energiprognose[Fjernvarme],MATCH(Energiberegning!AL$7,Energiprognose[År],0))</f>
        <v>15.1118784</v>
      </c>
      <c r="AM19" s="140">
        <f>AL19+Energiberegning[[#This Row],[Besparelse_m²]]*INDEX(Energiprognose[Fjernvarme],MATCH(Energiberegning!AM$7,Energiprognose[År],0))</f>
        <v>15.4967904</v>
      </c>
      <c r="AN19" s="140">
        <f>AM19+Energiberegning[[#This Row],[Besparelse_m²]]*INDEX(Energiprognose[Fjernvarme],MATCH(Energiberegning!AN$7,Energiprognose[År],0))</f>
        <v>15.8817024</v>
      </c>
      <c r="AO19" s="140">
        <f>AN19+Energiberegning[[#This Row],[Besparelse_m²]]*INDEX(Energiprognose[Fjernvarme],MATCH(Energiberegning!AO$7,Energiprognose[År],0))</f>
        <v>16.266614400000002</v>
      </c>
      <c r="AP19" s="140">
        <f>AO19+Energiberegning[[#This Row],[Besparelse_m²]]*INDEX(Energiprognose[Fjernvarme],MATCH(Energiberegning!AP$7,Energiprognose[År],0))</f>
        <v>16.651526400000002</v>
      </c>
      <c r="AQ19" s="140">
        <f>AP19+Energiberegning[[#This Row],[Besparelse_m²]]*INDEX(Energiprognose[Fjernvarme],MATCH(Energiberegning!AQ$7,Energiprognose[År],0))</f>
        <v>17.036438400000002</v>
      </c>
      <c r="AR19" s="140">
        <f>AQ19+Energiberegning[[#This Row],[Besparelse_m²]]*INDEX(Energiprognose[Fjernvarme],MATCH(Energiberegning!AR$7,Energiprognose[År],0))</f>
        <v>17.421350400000001</v>
      </c>
      <c r="AS19" s="140">
        <f>AR19+Energiberegning[[#This Row],[Besparelse_m²]]*INDEX(Energiprognose[Fjernvarme],MATCH(Energiberegning!AS$7,Energiprognose[År],0))</f>
        <v>17.806262400000001</v>
      </c>
      <c r="AT19" s="140">
        <f>AS19+Energiberegning[[#This Row],[Besparelse_m²]]*INDEX(Energiprognose[Fjernvarme],MATCH(Energiberegning!AT$7,Energiprognose[År],0))</f>
        <v>18.191174400000001</v>
      </c>
      <c r="AU19" s="140">
        <f>AT19+Energiberegning[[#This Row],[Besparelse_m²]]*INDEX(Energiprognose[Fjernvarme],MATCH(Energiberegning!AU$7,Energiprognose[År],0))</f>
        <v>18.576086400000001</v>
      </c>
      <c r="AV19" s="140">
        <f>AU19+Energiberegning[[#This Row],[Besparelse_m²]]*INDEX(Energiprognose[Fjernvarme],MATCH(Energiberegning!AV$7,Energiprognose[År],0))</f>
        <v>18.960998400000001</v>
      </c>
      <c r="AW19" s="140">
        <f>AV19+Energiberegning[[#This Row],[Besparelse_m²]]*INDEX(Energiprognose[Fjernvarme],MATCH(Energiberegning!AW$7,Energiprognose[År],0))</f>
        <v>19.345910400000001</v>
      </c>
      <c r="AX19" s="140">
        <f>AW19+Energiberegning[[#This Row],[Besparelse_m²]]*INDEX(Energiprognose[Fjernvarme],MATCH(Energiberegning!AX$7,Energiprognose[År],0))</f>
        <v>19.730822400000001</v>
      </c>
      <c r="AY19" s="140">
        <f>AX19+Energiberegning[[#This Row],[Besparelse_m²]]*INDEX(Energiprognose[Fjernvarme],MATCH(Energiberegning!AY$7,Energiprognose[År],0))</f>
        <v>20.115734400000001</v>
      </c>
      <c r="AZ19" s="140">
        <f>AY19+Energiberegning[[#This Row],[Besparelse_m²]]*INDEX(Energiprognose[Fjernvarme],MATCH(Energiberegning!AZ$7,Energiprognose[År],0))</f>
        <v>20.500646400000001</v>
      </c>
      <c r="BA19" s="140">
        <f>AZ19+Energiberegning[[#This Row],[Besparelse_m²]]*INDEX(Energiprognose[Fjernvarme],MATCH(Energiberegning!BA$7,Energiprognose[År],0))</f>
        <v>20.885558400000001</v>
      </c>
      <c r="BB19" s="140">
        <f>BA19+Energiberegning[[#This Row],[Besparelse_m²]]*INDEX(Energiprognose[Fjernvarme],MATCH(Energiberegning!BB$7,Energiprognose[År],0))</f>
        <v>21.270470400000001</v>
      </c>
      <c r="BC19" s="140">
        <f>BB19+Energiberegning[[#This Row],[Besparelse_m²]]*INDEX(Energiprognose[Fjernvarme],MATCH(Energiberegning!BC$7,Energiprognose[År],0))</f>
        <v>21.655382400000001</v>
      </c>
      <c r="BD19" s="140">
        <f>BC19+Energiberegning[[#This Row],[Besparelse_m²]]*INDEX(Energiprognose[Fjernvarme],MATCH(Energiberegning!BD$7,Energiprognose[År],0))</f>
        <v>22.040294400000001</v>
      </c>
      <c r="BE19" s="140">
        <f>BD19+Energiberegning[[#This Row],[Besparelse_m²]]*INDEX(Energiprognose[Fjernvarme],MATCH(Energiberegning!BE$7,Energiprognose[År],0))</f>
        <v>22.4252064</v>
      </c>
      <c r="BF19" s="140">
        <f>BE19+Energiberegning[[#This Row],[Besparelse_m²]]*INDEX(Energiprognose[Fjernvarme],MATCH(Energiberegning!BF$7,Energiprognose[År],0))</f>
        <v>22.8101184</v>
      </c>
      <c r="BG19" s="140">
        <f>BF19+Energiberegning[[#This Row],[Besparelse_m²]]*INDEX(Energiprognose[Fjernvarme],MATCH(Energiberegning!BG$7,Energiprognose[År],0))</f>
        <v>23.1950304</v>
      </c>
      <c r="BH19" s="140">
        <f>BG19+Energiberegning[[#This Row],[Besparelse_m²]]*INDEX(Energiprognose[Fjernvarme],MATCH(Energiberegning!BH$7,Energiprognose[År],0))</f>
        <v>23.5799424</v>
      </c>
      <c r="BI19" s="140">
        <f>BH19+Energiberegning[[#This Row],[Besparelse_m²]]*INDEX(Energiprognose[Fjernvarme],MATCH(Energiberegning!BI$7,Energiprognose[År],0))</f>
        <v>23.9648544</v>
      </c>
      <c r="BJ19" s="140">
        <f>BI19+Energiberegning[[#This Row],[Besparelse_m²]]*INDEX(Energiprognose[Fjernvarme],MATCH(Energiberegning!BJ$7,Energiprognose[År],0))</f>
        <v>24.3497664</v>
      </c>
      <c r="BK19" s="140">
        <f>BJ19+Energiberegning[[#This Row],[Besparelse_m²]]*INDEX(Energiprognose[Fjernvarme],MATCH(Energiberegning!BK$7,Energiprognose[År],0))</f>
        <v>24.7346784</v>
      </c>
      <c r="BL19" s="140">
        <f>BK19+Energiberegning[[#This Row],[Besparelse_m²]]*INDEX(Energiprognose[Fjernvarme],MATCH(Energiberegning!BL$7,Energiprognose[År],0))</f>
        <v>25.1195904</v>
      </c>
      <c r="BM19" s="140">
        <f>BL19+Energiberegning[[#This Row],[Besparelse_m²]]*INDEX(Energiprognose[Fjernvarme],MATCH(Energiberegning!BM$7,Energiprognose[År],0))</f>
        <v>25.5045024</v>
      </c>
      <c r="BN19" s="140">
        <f>BM19+Energiberegning[[#This Row],[Besparelse_m²]]*INDEX(Energiprognose[Fjernvarme],MATCH(Energiberegning!BN$7,Energiprognose[År],0))</f>
        <v>25.8894144</v>
      </c>
      <c r="BO19" s="140">
        <f>BN19+Energiberegning[[#This Row],[Besparelse_m²]]*INDEX(Energiprognose[Fjernvarme],MATCH(Energiberegning!BO$7,Energiprognose[År],0))</f>
        <v>26.2743264</v>
      </c>
      <c r="BP19" s="140">
        <f>BO19+Energiberegning[[#This Row],[Besparelse_m²]]*INDEX(Energiprognose[Fjernvarme],MATCH(Energiberegning!BP$7,Energiprognose[År],0))</f>
        <v>26.6592384</v>
      </c>
      <c r="BQ19" s="140">
        <f>BP19+Energiberegning[[#This Row],[Besparelse_m²]]*INDEX(Energiprognose[Fjernvarme],MATCH(Energiberegning!BQ$7,Energiprognose[År],0))</f>
        <v>27.044150399999999</v>
      </c>
      <c r="BR19" s="140">
        <f>BQ19+Energiberegning[[#This Row],[Besparelse_m²]]*INDEX(Energiprognose[Fjernvarme],MATCH(Energiberegning!BR$7,Energiprognose[År],0))</f>
        <v>27.429062399999999</v>
      </c>
      <c r="BS19" s="140">
        <f>BR19+Energiberegning[[#This Row],[Besparelse_m²]]*INDEX(Energiprognose[Fjernvarme],MATCH(Energiberegning!BS$7,Energiprognose[År],0))</f>
        <v>27.813974399999999</v>
      </c>
      <c r="BT19" s="140">
        <f>BS19+Energiberegning[[#This Row],[Besparelse_m²]]*INDEX(Energiprognose[Fjernvarme],MATCH(Energiberegning!BT$7,Energiprognose[År],0))</f>
        <v>28.198886399999999</v>
      </c>
      <c r="BU19" s="140">
        <f>BT19+Energiberegning[[#This Row],[Besparelse_m²]]*INDEX(Energiprognose[Fjernvarme],MATCH(Energiberegning!BU$7,Energiprognose[År],0))</f>
        <v>28.583798399999999</v>
      </c>
      <c r="BV19" s="140">
        <f>BU19+Energiberegning[[#This Row],[Besparelse_m²]]*INDEX(Energiprognose[Fjernvarme],MATCH(Energiberegning!BV$7,Energiprognose[År],0))</f>
        <v>28.968710399999999</v>
      </c>
      <c r="BW19" s="140">
        <f>BV19+Energiberegning[[#This Row],[Besparelse_m²]]*INDEX(Energiprognose[Fjernvarme],MATCH(Energiberegning!BW$7,Energiprognose[År],0))</f>
        <v>29.353622399999999</v>
      </c>
      <c r="BX19" s="140">
        <f>BW19+Energiberegning[[#This Row],[Besparelse_m²]]*INDEX(Energiprognose[Fjernvarme],MATCH(Energiberegning!BX$7,Energiprognose[År],0))</f>
        <v>29.738534399999999</v>
      </c>
      <c r="BY19" s="140">
        <f>BX19+Energiberegning[[#This Row],[Besparelse_m²]]*INDEX(Energiprognose[Fjernvarme],MATCH(Energiberegning!BY$7,Energiprognose[År],0))</f>
        <v>30.123446399999999</v>
      </c>
      <c r="BZ19" s="140">
        <f>BY19+Energiberegning[[#This Row],[Besparelse_m²]]*INDEX(Energiprognose[Fjernvarme],MATCH(Energiberegning!BZ$7,Energiprognose[År],0))</f>
        <v>30.508358399999999</v>
      </c>
      <c r="CA19" s="140">
        <f>BZ19+Energiberegning[[#This Row],[Besparelse_m²]]*INDEX(Energiprognose[Fjernvarme],MATCH(Energiberegning!CA$7,Energiprognose[År],0))</f>
        <v>30.893270399999999</v>
      </c>
      <c r="CB19" s="140">
        <f>CA19+Energiberegning[[#This Row],[Besparelse_m²]]*INDEX(Energiprognose[Fjernvarme],MATCH(Energiberegning!CB$7,Energiprognose[År],0))</f>
        <v>31.278182399999999</v>
      </c>
      <c r="CC19" s="140">
        <f>CB19+Energiberegning[[#This Row],[Besparelse_m²]]*INDEX(Energiprognose[Fjernvarme],MATCH(Energiberegning!CC$7,Energiprognose[År],0))</f>
        <v>31.663094399999999</v>
      </c>
      <c r="CD19" s="140">
        <f>CC19+Energiberegning[[#This Row],[Besparelse_m²]]*INDEX(Energiprognose[Fjernvarme],MATCH(Energiberegning!CD$7,Energiprognose[År],0))</f>
        <v>32.048006399999998</v>
      </c>
      <c r="CE19" s="140">
        <f>CD19+Energiberegning[[#This Row],[Besparelse_m²]]*INDEX(Energiprognose[Fjernvarme],MATCH(Energiberegning!CE$7,Energiprognose[År],0))</f>
        <v>32.432918399999998</v>
      </c>
      <c r="CF19" s="140">
        <f>CE19+Energiberegning[[#This Row],[Besparelse_m²]]*INDEX(Energiprognose[Fjernvarme],MATCH(Energiberegning!CF$7,Energiprognose[År],0))</f>
        <v>32.817830399999998</v>
      </c>
      <c r="CG19" s="140">
        <f>CF19+Energiberegning[[#This Row],[Besparelse_m²]]*INDEX(Energiprognose[Fjernvarme],MATCH(Energiberegning!CG$7,Energiprognose[År],0))</f>
        <v>33.202742399999998</v>
      </c>
      <c r="CH19" s="140">
        <f>CG19+Energiberegning[[#This Row],[Besparelse_m²]]*INDEX(Energiprognose[Fjernvarme],MATCH(Energiberegning!CH$7,Energiprognose[År],0))</f>
        <v>33.587654399999998</v>
      </c>
      <c r="CI19" s="140">
        <f>CH19+Energiberegning[[#This Row],[Besparelse_m²]]*INDEX(Energiprognose[Fjernvarme],MATCH(Energiberegning!CI$7,Energiprognose[År],0))</f>
        <v>33.972566399999998</v>
      </c>
      <c r="CJ19" s="140">
        <f>CI19+Energiberegning[[#This Row],[Besparelse_m²]]*INDEX(Energiprognose[Fjernvarme],MATCH(Energiberegning!CJ$7,Energiprognose[År],0))</f>
        <v>34.357478399999998</v>
      </c>
      <c r="CK19" s="140">
        <f>CJ19+Energiberegning[[#This Row],[Besparelse_m²]]*INDEX(Energiprognose[Fjernvarme],MATCH(Energiberegning!CK$7,Energiprognose[År],0))</f>
        <v>34.742390399999998</v>
      </c>
      <c r="CL19" s="140">
        <f>CK19+Energiberegning[[#This Row],[Besparelse_m²]]*INDEX(Energiprognose[Fjernvarme],MATCH(Energiberegning!CL$7,Energiprognose[År],0))</f>
        <v>35.127302399999998</v>
      </c>
      <c r="CM19" s="140">
        <f>CL19+Energiberegning[[#This Row],[Besparelse_m²]]*INDEX(Energiprognose[Fjernvarme],MATCH(Energiberegning!CM$7,Energiprognose[År],0))</f>
        <v>35.512214399999998</v>
      </c>
      <c r="CN19" s="19"/>
    </row>
    <row r="20" spans="1:92">
      <c r="A20" t="s">
        <v>537</v>
      </c>
      <c r="B20" s="139">
        <f>_xlfn.NUMBERVALUE(LEFT(Energiberegning[[#This Row],[Ydervæg]],2))</f>
        <v>60</v>
      </c>
      <c r="C20">
        <v>0</v>
      </c>
      <c r="D20">
        <v>200</v>
      </c>
      <c r="E20">
        <f>Energiberegning[[#This Row],[Nuværende isolering]]+Energiberegning[[#This Row],[Efterisolering]]</f>
        <v>200</v>
      </c>
      <c r="F20">
        <v>1</v>
      </c>
      <c r="G20">
        <v>0.16</v>
      </c>
      <c r="H20" s="120">
        <v>81720</v>
      </c>
      <c r="I20">
        <f>Energiberegning[[#This Row],[Besparelse_1000_m²]]/1000</f>
        <v>81.72</v>
      </c>
      <c r="J20" s="159">
        <v>0</v>
      </c>
      <c r="K20" s="152">
        <f>Energiberegning[[#This Row],[Besparelse_m²]]*INDEX(Energiprognose[Fjernvarme],MATCH(Energiberegning!K$7,Energiprognose[År],0))</f>
        <v>3.8032488</v>
      </c>
      <c r="L20" s="140">
        <f>K20+Energiberegning[[#This Row],[Besparelse_m²]]*INDEX(Energiprognose[Fjernvarme],MATCH(Energiberegning!L$7,Energiprognose[År],0))</f>
        <v>7.2191447999999996</v>
      </c>
      <c r="M20" s="140">
        <f>L20+Energiberegning[[#This Row],[Besparelse_m²]]*INDEX(Energiprognose[Fjernvarme],MATCH(Energiberegning!M$7,Energiprognose[År],0))</f>
        <v>10.247688</v>
      </c>
      <c r="N20" s="140">
        <f>M20+Energiberegning[[#This Row],[Besparelse_m²]]*INDEX(Energiprognose[Fjernvarme],MATCH(Energiberegning!N$7,Energiprognose[År],0))</f>
        <v>12.888878399999999</v>
      </c>
      <c r="O20" s="140">
        <f>N20+Energiberegning[[#This Row],[Besparelse_m²]]*INDEX(Energiprognose[Fjernvarme],MATCH(Energiberegning!O$7,Energiprognose[År],0))</f>
        <v>15.142715999999998</v>
      </c>
      <c r="P20" s="140">
        <f>O20+Energiberegning[[#This Row],[Besparelse_m²]]*INDEX(Energiprognose[Fjernvarme],MATCH(Energiberegning!P$7,Energiprognose[År],0))</f>
        <v>17.009200799999999</v>
      </c>
      <c r="Q20" s="140">
        <f>P20+Energiberegning[[#This Row],[Besparelse_m²]]*INDEX(Energiprognose[Fjernvarme],MATCH(Energiberegning!Q$7,Energiprognose[År],0))</f>
        <v>18.488332799999998</v>
      </c>
      <c r="R20" s="140">
        <f>Q20+Energiberegning[[#This Row],[Besparelse_m²]]*INDEX(Energiprognose[Fjernvarme],MATCH(Energiberegning!R$7,Energiprognose[År],0))</f>
        <v>19.900454399999997</v>
      </c>
      <c r="S20" s="140">
        <f>R20+Energiberegning[[#This Row],[Besparelse_m²]]*INDEX(Energiprognose[Fjernvarme],MATCH(Energiberegning!S$7,Energiprognose[År],0))</f>
        <v>21.245565599999999</v>
      </c>
      <c r="T20" s="140">
        <f>S20+Energiberegning[[#This Row],[Besparelse_m²]]*INDEX(Energiprognose[Fjernvarme],MATCH(Energiberegning!T$7,Energiprognose[År],0))</f>
        <v>22.5236664</v>
      </c>
      <c r="U20" s="140">
        <f>T20+Energiberegning[[#This Row],[Besparelse_m²]]*INDEX(Energiprognose[Fjernvarme],MATCH(Energiberegning!U$7,Energiprognose[År],0))</f>
        <v>23.7347568</v>
      </c>
      <c r="V20" s="140">
        <f>U20+Energiberegning[[#This Row],[Besparelse_m²]]*INDEX(Energiprognose[Fjernvarme],MATCH(Energiberegning!V$7,Energiprognose[År],0))</f>
        <v>24.878836799999998</v>
      </c>
      <c r="W20" s="140">
        <f>V20+Energiberegning[[#This Row],[Besparelse_m²]]*INDEX(Energiprognose[Fjernvarme],MATCH(Energiberegning!W$7,Energiprognose[År],0))</f>
        <v>26.013110399999999</v>
      </c>
      <c r="X20" s="140">
        <f>W20+Energiberegning[[#This Row],[Besparelse_m²]]*INDEX(Energiprognose[Fjernvarme],MATCH(Energiberegning!X$7,Energiprognose[År],0))</f>
        <v>27.1375776</v>
      </c>
      <c r="Y20" s="140">
        <f>X20+Energiberegning[[#This Row],[Besparelse_m²]]*INDEX(Energiprognose[Fjernvarme],MATCH(Energiberegning!Y$7,Energiprognose[År],0))</f>
        <v>28.2522384</v>
      </c>
      <c r="Z20" s="140">
        <f>Y20+Energiberegning[[#This Row],[Besparelse_m²]]*INDEX(Energiprognose[Fjernvarme],MATCH(Energiberegning!Z$7,Energiprognose[År],0))</f>
        <v>29.3570928</v>
      </c>
      <c r="AA20" s="140">
        <f>Z20+Energiberegning[[#This Row],[Besparelse_m²]]*INDEX(Energiprognose[Fjernvarme],MATCH(Energiberegning!AA$7,Energiprognose[År],0))</f>
        <v>30.452140799999999</v>
      </c>
      <c r="AB20" s="140">
        <f>AA20+Energiberegning[[#This Row],[Besparelse_m²]]*INDEX(Energiprognose[Fjernvarme],MATCH(Energiberegning!AB$7,Energiprognose[År],0))</f>
        <v>31.54392</v>
      </c>
      <c r="AC20" s="140">
        <f>AB20+Energiberegning[[#This Row],[Besparelse_m²]]*INDEX(Energiprognose[Fjernvarme],MATCH(Energiberegning!AC$7,Energiprognose[År],0))</f>
        <v>32.632430399999997</v>
      </c>
      <c r="AD20" s="140">
        <f>AC20+Energiberegning[[#This Row],[Besparelse_m²]]*INDEX(Energiprognose[Fjernvarme],MATCH(Energiberegning!AD$7,Energiprognose[År],0))</f>
        <v>33.717672</v>
      </c>
      <c r="AE20" s="140">
        <f>AD20+Energiberegning[[#This Row],[Besparelse_m²]]*INDEX(Energiprognose[Fjernvarme],MATCH(Energiberegning!AE$7,Energiprognose[År],0))</f>
        <v>34.799644800000003</v>
      </c>
      <c r="AF20" s="140">
        <f>AE20+Energiberegning[[#This Row],[Besparelse_m²]]*INDEX(Energiprognose[Fjernvarme],MATCH(Energiberegning!AF$7,Energiprognose[År],0))</f>
        <v>35.878348800000005</v>
      </c>
      <c r="AG20" s="140">
        <f>AF20+Energiberegning[[#This Row],[Besparelse_m²]]*INDEX(Energiprognose[Fjernvarme],MATCH(Energiberegning!AG$7,Energiprognose[År],0))</f>
        <v>36.957052800000007</v>
      </c>
      <c r="AH20" s="140">
        <f>AG20+Energiberegning[[#This Row],[Besparelse_m²]]*INDEX(Energiprognose[Fjernvarme],MATCH(Energiberegning!AH$7,Energiprognose[År],0))</f>
        <v>38.035756800000009</v>
      </c>
      <c r="AI20" s="140">
        <f>AH20+Energiberegning[[#This Row],[Besparelse_m²]]*INDEX(Energiprognose[Fjernvarme],MATCH(Energiberegning!AI$7,Energiprognose[År],0))</f>
        <v>39.11446080000001</v>
      </c>
      <c r="AJ20" s="140">
        <f>AI20+Energiberegning[[#This Row],[Besparelse_m²]]*INDEX(Energiprognose[Fjernvarme],MATCH(Energiberegning!AJ$7,Energiprognose[År],0))</f>
        <v>40.193164800000012</v>
      </c>
      <c r="AK20" s="140">
        <f>AJ20+Energiberegning[[#This Row],[Besparelse_m²]]*INDEX(Energiprognose[Fjernvarme],MATCH(Energiberegning!AK$7,Energiprognose[År],0))</f>
        <v>41.271868800000014</v>
      </c>
      <c r="AL20" s="140">
        <f>AK20+Energiberegning[[#This Row],[Besparelse_m²]]*INDEX(Energiprognose[Fjernvarme],MATCH(Energiberegning!AL$7,Energiprognose[År],0))</f>
        <v>42.350572800000016</v>
      </c>
      <c r="AM20" s="140">
        <f>AL20+Energiberegning[[#This Row],[Besparelse_m²]]*INDEX(Energiprognose[Fjernvarme],MATCH(Energiberegning!AM$7,Energiprognose[År],0))</f>
        <v>43.429276800000018</v>
      </c>
      <c r="AN20" s="140">
        <f>AM20+Energiberegning[[#This Row],[Besparelse_m²]]*INDEX(Energiprognose[Fjernvarme],MATCH(Energiberegning!AN$7,Energiprognose[År],0))</f>
        <v>44.50798080000002</v>
      </c>
      <c r="AO20" s="140">
        <f>AN20+Energiberegning[[#This Row],[Besparelse_m²]]*INDEX(Energiprognose[Fjernvarme],MATCH(Energiberegning!AO$7,Energiprognose[År],0))</f>
        <v>45.586684800000022</v>
      </c>
      <c r="AP20" s="140">
        <f>AO20+Energiberegning[[#This Row],[Besparelse_m²]]*INDEX(Energiprognose[Fjernvarme],MATCH(Energiberegning!AP$7,Energiprognose[År],0))</f>
        <v>46.665388800000024</v>
      </c>
      <c r="AQ20" s="140">
        <f>AP20+Energiberegning[[#This Row],[Besparelse_m²]]*INDEX(Energiprognose[Fjernvarme],MATCH(Energiberegning!AQ$7,Energiprognose[År],0))</f>
        <v>47.744092800000026</v>
      </c>
      <c r="AR20" s="140">
        <f>AQ20+Energiberegning[[#This Row],[Besparelse_m²]]*INDEX(Energiprognose[Fjernvarme],MATCH(Energiberegning!AR$7,Energiprognose[År],0))</f>
        <v>48.822796800000027</v>
      </c>
      <c r="AS20" s="140">
        <f>AR20+Energiberegning[[#This Row],[Besparelse_m²]]*INDEX(Energiprognose[Fjernvarme],MATCH(Energiberegning!AS$7,Energiprognose[År],0))</f>
        <v>49.901500800000029</v>
      </c>
      <c r="AT20" s="140">
        <f>AS20+Energiberegning[[#This Row],[Besparelse_m²]]*INDEX(Energiprognose[Fjernvarme],MATCH(Energiberegning!AT$7,Energiprognose[År],0))</f>
        <v>50.980204800000031</v>
      </c>
      <c r="AU20" s="140">
        <f>AT20+Energiberegning[[#This Row],[Besparelse_m²]]*INDEX(Energiprognose[Fjernvarme],MATCH(Energiberegning!AU$7,Energiprognose[År],0))</f>
        <v>52.058908800000033</v>
      </c>
      <c r="AV20" s="140">
        <f>AU20+Energiberegning[[#This Row],[Besparelse_m²]]*INDEX(Energiprognose[Fjernvarme],MATCH(Energiberegning!AV$7,Energiprognose[År],0))</f>
        <v>53.137612800000035</v>
      </c>
      <c r="AW20" s="140">
        <f>AV20+Energiberegning[[#This Row],[Besparelse_m²]]*INDEX(Energiprognose[Fjernvarme],MATCH(Energiberegning!AW$7,Energiprognose[År],0))</f>
        <v>54.216316800000037</v>
      </c>
      <c r="AX20" s="140">
        <f>AW20+Energiberegning[[#This Row],[Besparelse_m²]]*INDEX(Energiprognose[Fjernvarme],MATCH(Energiberegning!AX$7,Energiprognose[År],0))</f>
        <v>55.295020800000039</v>
      </c>
      <c r="AY20" s="140">
        <f>AX20+Energiberegning[[#This Row],[Besparelse_m²]]*INDEX(Energiprognose[Fjernvarme],MATCH(Energiberegning!AY$7,Energiprognose[År],0))</f>
        <v>56.373724800000041</v>
      </c>
      <c r="AZ20" s="140">
        <f>AY20+Energiberegning[[#This Row],[Besparelse_m²]]*INDEX(Energiprognose[Fjernvarme],MATCH(Energiberegning!AZ$7,Energiprognose[År],0))</f>
        <v>57.452428800000042</v>
      </c>
      <c r="BA20" s="140">
        <f>AZ20+Energiberegning[[#This Row],[Besparelse_m²]]*INDEX(Energiprognose[Fjernvarme],MATCH(Energiberegning!BA$7,Energiprognose[År],0))</f>
        <v>58.531132800000044</v>
      </c>
      <c r="BB20" s="140">
        <f>BA20+Energiberegning[[#This Row],[Besparelse_m²]]*INDEX(Energiprognose[Fjernvarme],MATCH(Energiberegning!BB$7,Energiprognose[År],0))</f>
        <v>59.609836800000046</v>
      </c>
      <c r="BC20" s="140">
        <f>BB20+Energiberegning[[#This Row],[Besparelse_m²]]*INDEX(Energiprognose[Fjernvarme],MATCH(Energiberegning!BC$7,Energiprognose[År],0))</f>
        <v>60.688540800000048</v>
      </c>
      <c r="BD20" s="140">
        <f>BC20+Energiberegning[[#This Row],[Besparelse_m²]]*INDEX(Energiprognose[Fjernvarme],MATCH(Energiberegning!BD$7,Energiprognose[År],0))</f>
        <v>61.76724480000005</v>
      </c>
      <c r="BE20" s="140">
        <f>BD20+Energiberegning[[#This Row],[Besparelse_m²]]*INDEX(Energiprognose[Fjernvarme],MATCH(Energiberegning!BE$7,Energiprognose[År],0))</f>
        <v>62.845948800000052</v>
      </c>
      <c r="BF20" s="140">
        <f>BE20+Energiberegning[[#This Row],[Besparelse_m²]]*INDEX(Energiprognose[Fjernvarme],MATCH(Energiberegning!BF$7,Energiprognose[År],0))</f>
        <v>63.924652800000054</v>
      </c>
      <c r="BG20" s="140">
        <f>BF20+Energiberegning[[#This Row],[Besparelse_m²]]*INDEX(Energiprognose[Fjernvarme],MATCH(Energiberegning!BG$7,Energiprognose[År],0))</f>
        <v>65.003356800000049</v>
      </c>
      <c r="BH20" s="140">
        <f>BG20+Energiberegning[[#This Row],[Besparelse_m²]]*INDEX(Energiprognose[Fjernvarme],MATCH(Energiberegning!BH$7,Energiprognose[År],0))</f>
        <v>66.08206080000005</v>
      </c>
      <c r="BI20" s="140">
        <f>BH20+Energiberegning[[#This Row],[Besparelse_m²]]*INDEX(Energiprognose[Fjernvarme],MATCH(Energiberegning!BI$7,Energiprognose[År],0))</f>
        <v>67.160764800000052</v>
      </c>
      <c r="BJ20" s="140">
        <f>BI20+Energiberegning[[#This Row],[Besparelse_m²]]*INDEX(Energiprognose[Fjernvarme],MATCH(Energiberegning!BJ$7,Energiprognose[År],0))</f>
        <v>68.239468800000054</v>
      </c>
      <c r="BK20" s="140">
        <f>BJ20+Energiberegning[[#This Row],[Besparelse_m²]]*INDEX(Energiprognose[Fjernvarme],MATCH(Energiberegning!BK$7,Energiprognose[År],0))</f>
        <v>69.318172800000056</v>
      </c>
      <c r="BL20" s="140">
        <f>BK20+Energiberegning[[#This Row],[Besparelse_m²]]*INDEX(Energiprognose[Fjernvarme],MATCH(Energiberegning!BL$7,Energiprognose[År],0))</f>
        <v>70.396876800000058</v>
      </c>
      <c r="BM20" s="140">
        <f>BL20+Energiberegning[[#This Row],[Besparelse_m²]]*INDEX(Energiprognose[Fjernvarme],MATCH(Energiberegning!BM$7,Energiprognose[År],0))</f>
        <v>71.47558080000006</v>
      </c>
      <c r="BN20" s="140">
        <f>BM20+Energiberegning[[#This Row],[Besparelse_m²]]*INDEX(Energiprognose[Fjernvarme],MATCH(Energiberegning!BN$7,Energiprognose[År],0))</f>
        <v>72.554284800000062</v>
      </c>
      <c r="BO20" s="140">
        <f>BN20+Energiberegning[[#This Row],[Besparelse_m²]]*INDEX(Energiprognose[Fjernvarme],MATCH(Energiberegning!BO$7,Energiprognose[År],0))</f>
        <v>73.632988800000064</v>
      </c>
      <c r="BP20" s="140">
        <f>BO20+Energiberegning[[#This Row],[Besparelse_m²]]*INDEX(Energiprognose[Fjernvarme],MATCH(Energiberegning!BP$7,Energiprognose[År],0))</f>
        <v>74.711692800000066</v>
      </c>
      <c r="BQ20" s="140">
        <f>BP20+Energiberegning[[#This Row],[Besparelse_m²]]*INDEX(Energiprognose[Fjernvarme],MATCH(Energiberegning!BQ$7,Energiprognose[År],0))</f>
        <v>75.790396800000067</v>
      </c>
      <c r="BR20" s="140">
        <f>BQ20+Energiberegning[[#This Row],[Besparelse_m²]]*INDEX(Energiprognose[Fjernvarme],MATCH(Energiberegning!BR$7,Energiprognose[År],0))</f>
        <v>76.869100800000069</v>
      </c>
      <c r="BS20" s="140">
        <f>BR20+Energiberegning[[#This Row],[Besparelse_m²]]*INDEX(Energiprognose[Fjernvarme],MATCH(Energiberegning!BS$7,Energiprognose[År],0))</f>
        <v>77.947804800000071</v>
      </c>
      <c r="BT20" s="140">
        <f>BS20+Energiberegning[[#This Row],[Besparelse_m²]]*INDEX(Energiprognose[Fjernvarme],MATCH(Energiberegning!BT$7,Energiprognose[År],0))</f>
        <v>79.026508800000073</v>
      </c>
      <c r="BU20" s="140">
        <f>BT20+Energiberegning[[#This Row],[Besparelse_m²]]*INDEX(Energiprognose[Fjernvarme],MATCH(Energiberegning!BU$7,Energiprognose[År],0))</f>
        <v>80.105212800000075</v>
      </c>
      <c r="BV20" s="140">
        <f>BU20+Energiberegning[[#This Row],[Besparelse_m²]]*INDEX(Energiprognose[Fjernvarme],MATCH(Energiberegning!BV$7,Energiprognose[År],0))</f>
        <v>81.183916800000077</v>
      </c>
      <c r="BW20" s="140">
        <f>BV20+Energiberegning[[#This Row],[Besparelse_m²]]*INDEX(Energiprognose[Fjernvarme],MATCH(Energiberegning!BW$7,Energiprognose[År],0))</f>
        <v>82.262620800000079</v>
      </c>
      <c r="BX20" s="140">
        <f>BW20+Energiberegning[[#This Row],[Besparelse_m²]]*INDEX(Energiprognose[Fjernvarme],MATCH(Energiberegning!BX$7,Energiprognose[År],0))</f>
        <v>83.341324800000081</v>
      </c>
      <c r="BY20" s="140">
        <f>BX20+Energiberegning[[#This Row],[Besparelse_m²]]*INDEX(Energiprognose[Fjernvarme],MATCH(Energiberegning!BY$7,Energiprognose[År],0))</f>
        <v>84.420028800000082</v>
      </c>
      <c r="BZ20" s="140">
        <f>BY20+Energiberegning[[#This Row],[Besparelse_m²]]*INDEX(Energiprognose[Fjernvarme],MATCH(Energiberegning!BZ$7,Energiprognose[År],0))</f>
        <v>85.498732800000084</v>
      </c>
      <c r="CA20" s="140">
        <f>BZ20+Energiberegning[[#This Row],[Besparelse_m²]]*INDEX(Energiprognose[Fjernvarme],MATCH(Energiberegning!CA$7,Energiprognose[År],0))</f>
        <v>86.577436800000086</v>
      </c>
      <c r="CB20" s="140">
        <f>CA20+Energiberegning[[#This Row],[Besparelse_m²]]*INDEX(Energiprognose[Fjernvarme],MATCH(Energiberegning!CB$7,Energiprognose[År],0))</f>
        <v>87.656140800000088</v>
      </c>
      <c r="CC20" s="140">
        <f>CB20+Energiberegning[[#This Row],[Besparelse_m²]]*INDEX(Energiprognose[Fjernvarme],MATCH(Energiberegning!CC$7,Energiprognose[År],0))</f>
        <v>88.73484480000009</v>
      </c>
      <c r="CD20" s="140">
        <f>CC20+Energiberegning[[#This Row],[Besparelse_m²]]*INDEX(Energiprognose[Fjernvarme],MATCH(Energiberegning!CD$7,Energiprognose[År],0))</f>
        <v>89.813548800000092</v>
      </c>
      <c r="CE20" s="140">
        <f>CD20+Energiberegning[[#This Row],[Besparelse_m²]]*INDEX(Energiprognose[Fjernvarme],MATCH(Energiberegning!CE$7,Energiprognose[År],0))</f>
        <v>90.892252800000094</v>
      </c>
      <c r="CF20" s="140">
        <f>CE20+Energiberegning[[#This Row],[Besparelse_m²]]*INDEX(Energiprognose[Fjernvarme],MATCH(Energiberegning!CF$7,Energiprognose[År],0))</f>
        <v>91.970956800000096</v>
      </c>
      <c r="CG20" s="140">
        <f>CF20+Energiberegning[[#This Row],[Besparelse_m²]]*INDEX(Energiprognose[Fjernvarme],MATCH(Energiberegning!CG$7,Energiprognose[År],0))</f>
        <v>93.049660800000098</v>
      </c>
      <c r="CH20" s="140">
        <f>CG20+Energiberegning[[#This Row],[Besparelse_m²]]*INDEX(Energiprognose[Fjernvarme],MATCH(Energiberegning!CH$7,Energiprognose[År],0))</f>
        <v>94.128364800000099</v>
      </c>
      <c r="CI20" s="140">
        <f>CH20+Energiberegning[[#This Row],[Besparelse_m²]]*INDEX(Energiprognose[Fjernvarme],MATCH(Energiberegning!CI$7,Energiprognose[År],0))</f>
        <v>95.207068800000101</v>
      </c>
      <c r="CJ20" s="140">
        <f>CI20+Energiberegning[[#This Row],[Besparelse_m²]]*INDEX(Energiprognose[Fjernvarme],MATCH(Energiberegning!CJ$7,Energiprognose[År],0))</f>
        <v>96.285772800000103</v>
      </c>
      <c r="CK20" s="140">
        <f>CJ20+Energiberegning[[#This Row],[Besparelse_m²]]*INDEX(Energiprognose[Fjernvarme],MATCH(Energiberegning!CK$7,Energiprognose[År],0))</f>
        <v>97.364476800000105</v>
      </c>
      <c r="CL20" s="140">
        <f>CK20+Energiberegning[[#This Row],[Besparelse_m²]]*INDEX(Energiprognose[Fjernvarme],MATCH(Energiberegning!CL$7,Energiprognose[År],0))</f>
        <v>98.443180800000107</v>
      </c>
      <c r="CM20" s="140">
        <f>CL20+Energiberegning[[#This Row],[Besparelse_m²]]*INDEX(Energiprognose[Fjernvarme],MATCH(Energiberegning!CM$7,Energiprognose[År],0))</f>
        <v>99.521884800000109</v>
      </c>
      <c r="CN20" s="19"/>
    </row>
    <row r="21" spans="1:92">
      <c r="A21" t="s">
        <v>531</v>
      </c>
      <c r="B21" s="139">
        <f>_xlfn.NUMBERVALUE(LEFT(Energiberegning[[#This Row],[Ydervæg]],2))</f>
        <v>60</v>
      </c>
      <c r="C21">
        <v>50</v>
      </c>
      <c r="D21">
        <v>150</v>
      </c>
      <c r="E21">
        <f>Energiberegning[[#This Row],[Nuværende isolering]]+Energiberegning[[#This Row],[Efterisolering]]</f>
        <v>200</v>
      </c>
      <c r="F21">
        <v>0.54</v>
      </c>
      <c r="G21">
        <v>0.16</v>
      </c>
      <c r="H21" s="120">
        <v>36720</v>
      </c>
      <c r="I21">
        <f>Energiberegning[[#This Row],[Besparelse_1000_m²]]/1000</f>
        <v>36.72</v>
      </c>
      <c r="J21" s="159">
        <v>0</v>
      </c>
      <c r="K21" s="152">
        <f>Energiberegning[[#This Row],[Besparelse_m²]]*INDEX(Energiprognose[Fjernvarme],MATCH(Energiberegning!K$7,Energiprognose[År],0))</f>
        <v>1.7089487999999999</v>
      </c>
      <c r="L21" s="140">
        <f>K21+Energiberegning[[#This Row],[Besparelse_m²]]*INDEX(Energiprognose[Fjernvarme],MATCH(Energiberegning!L$7,Energiprognose[År],0))</f>
        <v>3.2438447999999998</v>
      </c>
      <c r="M21" s="140">
        <f>L21+Energiberegning[[#This Row],[Besparelse_m²]]*INDEX(Energiprognose[Fjernvarme],MATCH(Energiberegning!M$7,Energiprognose[År],0))</f>
        <v>4.6046879999999994</v>
      </c>
      <c r="N21" s="140">
        <f>M21+Energiberegning[[#This Row],[Besparelse_m²]]*INDEX(Energiprognose[Fjernvarme],MATCH(Energiberegning!N$7,Energiprognose[År],0))</f>
        <v>5.791478399999999</v>
      </c>
      <c r="O21" s="140">
        <f>N21+Energiberegning[[#This Row],[Besparelse_m²]]*INDEX(Energiprognose[Fjernvarme],MATCH(Energiberegning!O$7,Energiprognose[År],0))</f>
        <v>6.8042159999999985</v>
      </c>
      <c r="P21" s="140">
        <f>O21+Energiberegning[[#This Row],[Besparelse_m²]]*INDEX(Energiprognose[Fjernvarme],MATCH(Energiberegning!P$7,Energiprognose[År],0))</f>
        <v>7.6429007999999978</v>
      </c>
      <c r="Q21" s="140">
        <f>P21+Energiberegning[[#This Row],[Besparelse_m²]]*INDEX(Energiprognose[Fjernvarme],MATCH(Energiberegning!Q$7,Energiprognose[År],0))</f>
        <v>8.3075327999999971</v>
      </c>
      <c r="R21" s="140">
        <f>Q21+Energiberegning[[#This Row],[Besparelse_m²]]*INDEX(Energiprognose[Fjernvarme],MATCH(Energiberegning!R$7,Energiprognose[År],0))</f>
        <v>8.9420543999999964</v>
      </c>
      <c r="S21" s="140">
        <f>R21+Energiberegning[[#This Row],[Besparelse_m²]]*INDEX(Energiprognose[Fjernvarme],MATCH(Energiberegning!S$7,Energiprognose[År],0))</f>
        <v>9.5464655999999959</v>
      </c>
      <c r="T21" s="140">
        <f>S21+Energiberegning[[#This Row],[Besparelse_m²]]*INDEX(Energiprognose[Fjernvarme],MATCH(Energiberegning!T$7,Energiprognose[År],0))</f>
        <v>10.120766399999995</v>
      </c>
      <c r="U21" s="140">
        <f>T21+Energiberegning[[#This Row],[Besparelse_m²]]*INDEX(Energiprognose[Fjernvarme],MATCH(Energiberegning!U$7,Energiprognose[År],0))</f>
        <v>10.664956799999995</v>
      </c>
      <c r="V21" s="140">
        <f>U21+Energiberegning[[#This Row],[Besparelse_m²]]*INDEX(Energiprognose[Fjernvarme],MATCH(Energiberegning!V$7,Energiprognose[År],0))</f>
        <v>11.179036799999995</v>
      </c>
      <c r="W21" s="140">
        <f>V21+Energiberegning[[#This Row],[Besparelse_m²]]*INDEX(Energiprognose[Fjernvarme],MATCH(Energiberegning!W$7,Energiprognose[År],0))</f>
        <v>11.688710399999994</v>
      </c>
      <c r="X21" s="140">
        <f>W21+Energiberegning[[#This Row],[Besparelse_m²]]*INDEX(Energiprognose[Fjernvarme],MATCH(Energiberegning!X$7,Energiprognose[År],0))</f>
        <v>12.193977599999995</v>
      </c>
      <c r="Y21" s="140">
        <f>X21+Energiberegning[[#This Row],[Besparelse_m²]]*INDEX(Energiprognose[Fjernvarme],MATCH(Energiberegning!Y$7,Energiprognose[År],0))</f>
        <v>12.694838399999995</v>
      </c>
      <c r="Z21" s="140">
        <f>Y21+Energiberegning[[#This Row],[Besparelse_m²]]*INDEX(Energiprognose[Fjernvarme],MATCH(Energiberegning!Z$7,Energiprognose[År],0))</f>
        <v>13.191292799999994</v>
      </c>
      <c r="AA21" s="140">
        <f>Z21+Energiberegning[[#This Row],[Besparelse_m²]]*INDEX(Energiprognose[Fjernvarme],MATCH(Energiberegning!AA$7,Energiprognose[År],0))</f>
        <v>13.683340799999995</v>
      </c>
      <c r="AB21" s="140">
        <f>AA21+Energiberegning[[#This Row],[Besparelse_m²]]*INDEX(Energiprognose[Fjernvarme],MATCH(Energiberegning!AB$7,Energiprognose[År],0))</f>
        <v>14.173919999999995</v>
      </c>
      <c r="AC21" s="140">
        <f>AB21+Energiberegning[[#This Row],[Besparelse_m²]]*INDEX(Energiprognose[Fjernvarme],MATCH(Energiberegning!AC$7,Energiprognose[År],0))</f>
        <v>14.663030399999995</v>
      </c>
      <c r="AD21" s="140">
        <f>AC21+Energiberegning[[#This Row],[Besparelse_m²]]*INDEX(Energiprognose[Fjernvarme],MATCH(Energiberegning!AD$7,Energiprognose[År],0))</f>
        <v>15.150671999999995</v>
      </c>
      <c r="AE21" s="140">
        <f>AD21+Energiberegning[[#This Row],[Besparelse_m²]]*INDEX(Energiprognose[Fjernvarme],MATCH(Energiberegning!AE$7,Energiprognose[År],0))</f>
        <v>15.636844799999995</v>
      </c>
      <c r="AF21" s="140">
        <f>AE21+Energiberegning[[#This Row],[Besparelse_m²]]*INDEX(Energiprognose[Fjernvarme],MATCH(Energiberegning!AF$7,Energiprognose[År],0))</f>
        <v>16.121548799999996</v>
      </c>
      <c r="AG21" s="140">
        <f>AF21+Energiberegning[[#This Row],[Besparelse_m²]]*INDEX(Energiprognose[Fjernvarme],MATCH(Energiberegning!AG$7,Energiprognose[År],0))</f>
        <v>16.606252799999996</v>
      </c>
      <c r="AH21" s="140">
        <f>AG21+Energiberegning[[#This Row],[Besparelse_m²]]*INDEX(Energiprognose[Fjernvarme],MATCH(Energiberegning!AH$7,Energiprognose[År],0))</f>
        <v>17.090956799999997</v>
      </c>
      <c r="AI21" s="140">
        <f>AH21+Energiberegning[[#This Row],[Besparelse_m²]]*INDEX(Energiprognose[Fjernvarme],MATCH(Energiberegning!AI$7,Energiprognose[År],0))</f>
        <v>17.575660799999998</v>
      </c>
      <c r="AJ21" s="140">
        <f>AI21+Energiberegning[[#This Row],[Besparelse_m²]]*INDEX(Energiprognose[Fjernvarme],MATCH(Energiberegning!AJ$7,Energiprognose[År],0))</f>
        <v>18.060364799999999</v>
      </c>
      <c r="AK21" s="140">
        <f>AJ21+Energiberegning[[#This Row],[Besparelse_m²]]*INDEX(Energiprognose[Fjernvarme],MATCH(Energiberegning!AK$7,Energiprognose[År],0))</f>
        <v>18.545068799999999</v>
      </c>
      <c r="AL21" s="140">
        <f>AK21+Energiberegning[[#This Row],[Besparelse_m²]]*INDEX(Energiprognose[Fjernvarme],MATCH(Energiberegning!AL$7,Energiprognose[År],0))</f>
        <v>19.0297728</v>
      </c>
      <c r="AM21" s="140">
        <f>AL21+Energiberegning[[#This Row],[Besparelse_m²]]*INDEX(Energiprognose[Fjernvarme],MATCH(Energiberegning!AM$7,Energiprognose[År],0))</f>
        <v>19.514476800000001</v>
      </c>
      <c r="AN21" s="140">
        <f>AM21+Energiberegning[[#This Row],[Besparelse_m²]]*INDEX(Energiprognose[Fjernvarme],MATCH(Energiberegning!AN$7,Energiprognose[År],0))</f>
        <v>19.999180800000001</v>
      </c>
      <c r="AO21" s="140">
        <f>AN21+Energiberegning[[#This Row],[Besparelse_m²]]*INDEX(Energiprognose[Fjernvarme],MATCH(Energiberegning!AO$7,Energiprognose[År],0))</f>
        <v>20.483884800000002</v>
      </c>
      <c r="AP21" s="140">
        <f>AO21+Energiberegning[[#This Row],[Besparelse_m²]]*INDEX(Energiprognose[Fjernvarme],MATCH(Energiberegning!AP$7,Energiprognose[År],0))</f>
        <v>20.968588800000003</v>
      </c>
      <c r="AQ21" s="140">
        <f>AP21+Energiberegning[[#This Row],[Besparelse_m²]]*INDEX(Energiprognose[Fjernvarme],MATCH(Energiberegning!AQ$7,Energiprognose[År],0))</f>
        <v>21.453292800000003</v>
      </c>
      <c r="AR21" s="140">
        <f>AQ21+Energiberegning[[#This Row],[Besparelse_m²]]*INDEX(Energiprognose[Fjernvarme],MATCH(Energiberegning!AR$7,Energiprognose[År],0))</f>
        <v>21.937996800000004</v>
      </c>
      <c r="AS21" s="140">
        <f>AR21+Energiberegning[[#This Row],[Besparelse_m²]]*INDEX(Energiprognose[Fjernvarme],MATCH(Energiberegning!AS$7,Energiprognose[År],0))</f>
        <v>22.422700800000005</v>
      </c>
      <c r="AT21" s="140">
        <f>AS21+Energiberegning[[#This Row],[Besparelse_m²]]*INDEX(Energiprognose[Fjernvarme],MATCH(Energiberegning!AT$7,Energiprognose[År],0))</f>
        <v>22.907404800000005</v>
      </c>
      <c r="AU21" s="140">
        <f>AT21+Energiberegning[[#This Row],[Besparelse_m²]]*INDEX(Energiprognose[Fjernvarme],MATCH(Energiberegning!AU$7,Energiprognose[År],0))</f>
        <v>23.392108800000006</v>
      </c>
      <c r="AV21" s="140">
        <f>AU21+Energiberegning[[#This Row],[Besparelse_m²]]*INDEX(Energiprognose[Fjernvarme],MATCH(Energiberegning!AV$7,Energiprognose[År],0))</f>
        <v>23.876812800000007</v>
      </c>
      <c r="AW21" s="140">
        <f>AV21+Energiberegning[[#This Row],[Besparelse_m²]]*INDEX(Energiprognose[Fjernvarme],MATCH(Energiberegning!AW$7,Energiprognose[År],0))</f>
        <v>24.361516800000008</v>
      </c>
      <c r="AX21" s="140">
        <f>AW21+Energiberegning[[#This Row],[Besparelse_m²]]*INDEX(Energiprognose[Fjernvarme],MATCH(Energiberegning!AX$7,Energiprognose[År],0))</f>
        <v>24.846220800000008</v>
      </c>
      <c r="AY21" s="140">
        <f>AX21+Energiberegning[[#This Row],[Besparelse_m²]]*INDEX(Energiprognose[Fjernvarme],MATCH(Energiberegning!AY$7,Energiprognose[År],0))</f>
        <v>25.330924800000009</v>
      </c>
      <c r="AZ21" s="140">
        <f>AY21+Energiberegning[[#This Row],[Besparelse_m²]]*INDEX(Energiprognose[Fjernvarme],MATCH(Energiberegning!AZ$7,Energiprognose[År],0))</f>
        <v>25.81562880000001</v>
      </c>
      <c r="BA21" s="140">
        <f>AZ21+Energiberegning[[#This Row],[Besparelse_m²]]*INDEX(Energiprognose[Fjernvarme],MATCH(Energiberegning!BA$7,Energiprognose[År],0))</f>
        <v>26.30033280000001</v>
      </c>
      <c r="BB21" s="140">
        <f>BA21+Energiberegning[[#This Row],[Besparelse_m²]]*INDEX(Energiprognose[Fjernvarme],MATCH(Energiberegning!BB$7,Energiprognose[År],0))</f>
        <v>26.785036800000011</v>
      </c>
      <c r="BC21" s="140">
        <f>BB21+Energiberegning[[#This Row],[Besparelse_m²]]*INDEX(Energiprognose[Fjernvarme],MATCH(Energiberegning!BC$7,Energiprognose[År],0))</f>
        <v>27.269740800000012</v>
      </c>
      <c r="BD21" s="140">
        <f>BC21+Energiberegning[[#This Row],[Besparelse_m²]]*INDEX(Energiprognose[Fjernvarme],MATCH(Energiberegning!BD$7,Energiprognose[År],0))</f>
        <v>27.754444800000012</v>
      </c>
      <c r="BE21" s="140">
        <f>BD21+Energiberegning[[#This Row],[Besparelse_m²]]*INDEX(Energiprognose[Fjernvarme],MATCH(Energiberegning!BE$7,Energiprognose[År],0))</f>
        <v>28.239148800000013</v>
      </c>
      <c r="BF21" s="140">
        <f>BE21+Energiberegning[[#This Row],[Besparelse_m²]]*INDEX(Energiprognose[Fjernvarme],MATCH(Energiberegning!BF$7,Energiprognose[År],0))</f>
        <v>28.723852800000014</v>
      </c>
      <c r="BG21" s="140">
        <f>BF21+Energiberegning[[#This Row],[Besparelse_m²]]*INDEX(Energiprognose[Fjernvarme],MATCH(Energiberegning!BG$7,Energiprognose[År],0))</f>
        <v>29.208556800000014</v>
      </c>
      <c r="BH21" s="140">
        <f>BG21+Energiberegning[[#This Row],[Besparelse_m²]]*INDEX(Energiprognose[Fjernvarme],MATCH(Energiberegning!BH$7,Energiprognose[År],0))</f>
        <v>29.693260800000015</v>
      </c>
      <c r="BI21" s="140">
        <f>BH21+Energiberegning[[#This Row],[Besparelse_m²]]*INDEX(Energiprognose[Fjernvarme],MATCH(Energiberegning!BI$7,Energiprognose[År],0))</f>
        <v>30.177964800000016</v>
      </c>
      <c r="BJ21" s="140">
        <f>BI21+Energiberegning[[#This Row],[Besparelse_m²]]*INDEX(Energiprognose[Fjernvarme],MATCH(Energiberegning!BJ$7,Energiprognose[År],0))</f>
        <v>30.662668800000016</v>
      </c>
      <c r="BK21" s="140">
        <f>BJ21+Energiberegning[[#This Row],[Besparelse_m²]]*INDEX(Energiprognose[Fjernvarme],MATCH(Energiberegning!BK$7,Energiprognose[År],0))</f>
        <v>31.147372800000017</v>
      </c>
      <c r="BL21" s="140">
        <f>BK21+Energiberegning[[#This Row],[Besparelse_m²]]*INDEX(Energiprognose[Fjernvarme],MATCH(Energiberegning!BL$7,Energiprognose[År],0))</f>
        <v>31.632076800000018</v>
      </c>
      <c r="BM21" s="140">
        <f>BL21+Energiberegning[[#This Row],[Besparelse_m²]]*INDEX(Energiprognose[Fjernvarme],MATCH(Energiberegning!BM$7,Energiprognose[År],0))</f>
        <v>32.116780800000015</v>
      </c>
      <c r="BN21" s="140">
        <f>BM21+Energiberegning[[#This Row],[Besparelse_m²]]*INDEX(Energiprognose[Fjernvarme],MATCH(Energiberegning!BN$7,Energiprognose[År],0))</f>
        <v>32.601484800000016</v>
      </c>
      <c r="BO21" s="140">
        <f>BN21+Energiberegning[[#This Row],[Besparelse_m²]]*INDEX(Energiprognose[Fjernvarme],MATCH(Energiberegning!BO$7,Energiprognose[År],0))</f>
        <v>33.086188800000016</v>
      </c>
      <c r="BP21" s="140">
        <f>BO21+Energiberegning[[#This Row],[Besparelse_m²]]*INDEX(Energiprognose[Fjernvarme],MATCH(Energiberegning!BP$7,Energiprognose[År],0))</f>
        <v>33.570892800000017</v>
      </c>
      <c r="BQ21" s="140">
        <f>BP21+Energiberegning[[#This Row],[Besparelse_m²]]*INDEX(Energiprognose[Fjernvarme],MATCH(Energiberegning!BQ$7,Energiprognose[År],0))</f>
        <v>34.055596800000018</v>
      </c>
      <c r="BR21" s="140">
        <f>BQ21+Energiberegning[[#This Row],[Besparelse_m²]]*INDEX(Energiprognose[Fjernvarme],MATCH(Energiberegning!BR$7,Energiprognose[År],0))</f>
        <v>34.540300800000018</v>
      </c>
      <c r="BS21" s="140">
        <f>BR21+Energiberegning[[#This Row],[Besparelse_m²]]*INDEX(Energiprognose[Fjernvarme],MATCH(Energiberegning!BS$7,Energiprognose[År],0))</f>
        <v>35.025004800000019</v>
      </c>
      <c r="BT21" s="140">
        <f>BS21+Energiberegning[[#This Row],[Besparelse_m²]]*INDEX(Energiprognose[Fjernvarme],MATCH(Energiberegning!BT$7,Energiprognose[År],0))</f>
        <v>35.50970880000002</v>
      </c>
      <c r="BU21" s="140">
        <f>BT21+Energiberegning[[#This Row],[Besparelse_m²]]*INDEX(Energiprognose[Fjernvarme],MATCH(Energiberegning!BU$7,Energiprognose[År],0))</f>
        <v>35.994412800000021</v>
      </c>
      <c r="BV21" s="140">
        <f>BU21+Energiberegning[[#This Row],[Besparelse_m²]]*INDEX(Energiprognose[Fjernvarme],MATCH(Energiberegning!BV$7,Energiprognose[År],0))</f>
        <v>36.479116800000021</v>
      </c>
      <c r="BW21" s="140">
        <f>BV21+Energiberegning[[#This Row],[Besparelse_m²]]*INDEX(Energiprognose[Fjernvarme],MATCH(Energiberegning!BW$7,Energiprognose[År],0))</f>
        <v>36.963820800000022</v>
      </c>
      <c r="BX21" s="140">
        <f>BW21+Energiberegning[[#This Row],[Besparelse_m²]]*INDEX(Energiprognose[Fjernvarme],MATCH(Energiberegning!BX$7,Energiprognose[År],0))</f>
        <v>37.448524800000023</v>
      </c>
      <c r="BY21" s="140">
        <f>BX21+Energiberegning[[#This Row],[Besparelse_m²]]*INDEX(Energiprognose[Fjernvarme],MATCH(Energiberegning!BY$7,Energiprognose[År],0))</f>
        <v>37.933228800000023</v>
      </c>
      <c r="BZ21" s="140">
        <f>BY21+Energiberegning[[#This Row],[Besparelse_m²]]*INDEX(Energiprognose[Fjernvarme],MATCH(Energiberegning!BZ$7,Energiprognose[År],0))</f>
        <v>38.417932800000024</v>
      </c>
      <c r="CA21" s="140">
        <f>BZ21+Energiberegning[[#This Row],[Besparelse_m²]]*INDEX(Energiprognose[Fjernvarme],MATCH(Energiberegning!CA$7,Energiprognose[År],0))</f>
        <v>38.902636800000025</v>
      </c>
      <c r="CB21" s="140">
        <f>CA21+Energiberegning[[#This Row],[Besparelse_m²]]*INDEX(Energiprognose[Fjernvarme],MATCH(Energiberegning!CB$7,Energiprognose[År],0))</f>
        <v>39.387340800000025</v>
      </c>
      <c r="CC21" s="140">
        <f>CB21+Energiberegning[[#This Row],[Besparelse_m²]]*INDEX(Energiprognose[Fjernvarme],MATCH(Energiberegning!CC$7,Energiprognose[År],0))</f>
        <v>39.872044800000026</v>
      </c>
      <c r="CD21" s="140">
        <f>CC21+Energiberegning[[#This Row],[Besparelse_m²]]*INDEX(Energiprognose[Fjernvarme],MATCH(Energiberegning!CD$7,Energiprognose[År],0))</f>
        <v>40.356748800000027</v>
      </c>
      <c r="CE21" s="140">
        <f>CD21+Energiberegning[[#This Row],[Besparelse_m²]]*INDEX(Energiprognose[Fjernvarme],MATCH(Energiberegning!CE$7,Energiprognose[År],0))</f>
        <v>40.841452800000027</v>
      </c>
      <c r="CF21" s="140">
        <f>CE21+Energiberegning[[#This Row],[Besparelse_m²]]*INDEX(Energiprognose[Fjernvarme],MATCH(Energiberegning!CF$7,Energiprognose[År],0))</f>
        <v>41.326156800000028</v>
      </c>
      <c r="CG21" s="140">
        <f>CF21+Energiberegning[[#This Row],[Besparelse_m²]]*INDEX(Energiprognose[Fjernvarme],MATCH(Energiberegning!CG$7,Energiprognose[År],0))</f>
        <v>41.810860800000029</v>
      </c>
      <c r="CH21" s="140">
        <f>CG21+Energiberegning[[#This Row],[Besparelse_m²]]*INDEX(Energiprognose[Fjernvarme],MATCH(Energiberegning!CH$7,Energiprognose[År],0))</f>
        <v>42.295564800000029</v>
      </c>
      <c r="CI21" s="140">
        <f>CH21+Energiberegning[[#This Row],[Besparelse_m²]]*INDEX(Energiprognose[Fjernvarme],MATCH(Energiberegning!CI$7,Energiprognose[År],0))</f>
        <v>42.78026880000003</v>
      </c>
      <c r="CJ21" s="140">
        <f>CI21+Energiberegning[[#This Row],[Besparelse_m²]]*INDEX(Energiprognose[Fjernvarme],MATCH(Energiberegning!CJ$7,Energiprognose[År],0))</f>
        <v>43.264972800000031</v>
      </c>
      <c r="CK21" s="140">
        <f>CJ21+Energiberegning[[#This Row],[Besparelse_m²]]*INDEX(Energiprognose[Fjernvarme],MATCH(Energiberegning!CK$7,Energiprognose[År],0))</f>
        <v>43.749676800000032</v>
      </c>
      <c r="CL21" s="140">
        <f>CK21+Energiberegning[[#This Row],[Besparelse_m²]]*INDEX(Energiprognose[Fjernvarme],MATCH(Energiberegning!CL$7,Energiprognose[År],0))</f>
        <v>44.234380800000032</v>
      </c>
      <c r="CM21" s="140">
        <f>CL21+Energiberegning[[#This Row],[Besparelse_m²]]*INDEX(Energiprognose[Fjernvarme],MATCH(Energiberegning!CM$7,Energiprognose[År],0))</f>
        <v>44.719084800000033</v>
      </c>
      <c r="CN21" s="19"/>
    </row>
    <row r="22" spans="1:92">
      <c r="A22" t="s">
        <v>532</v>
      </c>
      <c r="B22" s="139">
        <f>_xlfn.NUMBERVALUE(LEFT(Energiberegning[[#This Row],[Ydervæg]],2))</f>
        <v>60</v>
      </c>
      <c r="C22">
        <v>100</v>
      </c>
      <c r="D22">
        <v>100</v>
      </c>
      <c r="E22">
        <f>Energiberegning[[#This Row],[Nuværende isolering]]+Energiberegning[[#This Row],[Efterisolering]]</f>
        <v>200</v>
      </c>
      <c r="F22">
        <v>0.4</v>
      </c>
      <c r="G22">
        <v>0.16</v>
      </c>
      <c r="H22" s="120">
        <v>23400</v>
      </c>
      <c r="I22">
        <f>Energiberegning[[#This Row],[Besparelse_1000_m²]]/1000</f>
        <v>23.4</v>
      </c>
      <c r="J22" s="159">
        <v>0</v>
      </c>
      <c r="K22" s="152">
        <f>Energiberegning[[#This Row],[Besparelse_m²]]*INDEX(Energiprognose[Fjernvarme],MATCH(Energiberegning!K$7,Energiprognose[År],0))</f>
        <v>1.0890359999999999</v>
      </c>
      <c r="L22" s="140">
        <f>K22+Energiberegning[[#This Row],[Besparelse_m²]]*INDEX(Energiprognose[Fjernvarme],MATCH(Energiberegning!L$7,Energiprognose[År],0))</f>
        <v>2.0671559999999998</v>
      </c>
      <c r="M22" s="140">
        <f>L22+Energiberegning[[#This Row],[Besparelse_m²]]*INDEX(Energiprognose[Fjernvarme],MATCH(Energiberegning!M$7,Energiprognose[År],0))</f>
        <v>2.9343599999999999</v>
      </c>
      <c r="N22" s="140">
        <f>M22+Energiberegning[[#This Row],[Besparelse_m²]]*INDEX(Energiprognose[Fjernvarme],MATCH(Energiberegning!N$7,Energiprognose[År],0))</f>
        <v>3.6906479999999995</v>
      </c>
      <c r="O22" s="140">
        <f>N22+Energiberegning[[#This Row],[Besparelse_m²]]*INDEX(Energiprognose[Fjernvarme],MATCH(Energiberegning!O$7,Energiprognose[År],0))</f>
        <v>4.3360199999999995</v>
      </c>
      <c r="P22" s="140">
        <f>O22+Energiberegning[[#This Row],[Besparelse_m²]]*INDEX(Energiprognose[Fjernvarme],MATCH(Energiberegning!P$7,Energiprognose[År],0))</f>
        <v>4.8704759999999991</v>
      </c>
      <c r="Q22" s="140">
        <f>P22+Energiberegning[[#This Row],[Besparelse_m²]]*INDEX(Energiprognose[Fjernvarme],MATCH(Energiberegning!Q$7,Energiprognose[År],0))</f>
        <v>5.2940159999999992</v>
      </c>
      <c r="R22" s="140">
        <f>Q22+Energiberegning[[#This Row],[Besparelse_m²]]*INDEX(Energiprognose[Fjernvarme],MATCH(Energiberegning!R$7,Energiprognose[År],0))</f>
        <v>5.6983679999999994</v>
      </c>
      <c r="S22" s="140">
        <f>R22+Energiberegning[[#This Row],[Besparelse_m²]]*INDEX(Energiprognose[Fjernvarme],MATCH(Energiberegning!S$7,Energiprognose[År],0))</f>
        <v>6.0835319999999991</v>
      </c>
      <c r="T22" s="140">
        <f>S22+Energiberegning[[#This Row],[Besparelse_m²]]*INDEX(Energiprognose[Fjernvarme],MATCH(Energiberegning!T$7,Energiprognose[År],0))</f>
        <v>6.4495079999999989</v>
      </c>
      <c r="U22" s="140">
        <f>T22+Energiberegning[[#This Row],[Besparelse_m²]]*INDEX(Energiprognose[Fjernvarme],MATCH(Energiberegning!U$7,Energiprognose[År],0))</f>
        <v>6.796295999999999</v>
      </c>
      <c r="V22" s="140">
        <f>U22+Energiberegning[[#This Row],[Besparelse_m²]]*INDEX(Energiprognose[Fjernvarme],MATCH(Energiberegning!V$7,Energiprognose[År],0))</f>
        <v>7.1238959999999993</v>
      </c>
      <c r="W22" s="140">
        <f>V22+Energiberegning[[#This Row],[Besparelse_m²]]*INDEX(Energiprognose[Fjernvarme],MATCH(Energiberegning!W$7,Energiprognose[År],0))</f>
        <v>7.4486879999999989</v>
      </c>
      <c r="X22" s="140">
        <f>W22+Energiberegning[[#This Row],[Besparelse_m²]]*INDEX(Energiprognose[Fjernvarme],MATCH(Energiberegning!X$7,Energiprognose[År],0))</f>
        <v>7.7706719999999985</v>
      </c>
      <c r="Y22" s="140">
        <f>X22+Energiberegning[[#This Row],[Besparelse_m²]]*INDEX(Energiprognose[Fjernvarme],MATCH(Energiberegning!Y$7,Energiprognose[År],0))</f>
        <v>8.0898479999999982</v>
      </c>
      <c r="Z22" s="140">
        <f>Y22+Energiberegning[[#This Row],[Besparelse_m²]]*INDEX(Energiprognose[Fjernvarme],MATCH(Energiberegning!Z$7,Energiprognose[År],0))</f>
        <v>8.4062159999999988</v>
      </c>
      <c r="AA22" s="140">
        <f>Z22+Energiberegning[[#This Row],[Besparelse_m²]]*INDEX(Energiprognose[Fjernvarme],MATCH(Energiberegning!AA$7,Energiprognose[År],0))</f>
        <v>8.7197759999999995</v>
      </c>
      <c r="AB22" s="140">
        <f>AA22+Energiberegning[[#This Row],[Besparelse_m²]]*INDEX(Energiprognose[Fjernvarme],MATCH(Energiberegning!AB$7,Energiprognose[År],0))</f>
        <v>9.0323999999999991</v>
      </c>
      <c r="AC22" s="140">
        <f>AB22+Energiberegning[[#This Row],[Besparelse_m²]]*INDEX(Energiprognose[Fjernvarme],MATCH(Energiberegning!AC$7,Energiprognose[År],0))</f>
        <v>9.3440879999999993</v>
      </c>
      <c r="AD22" s="140">
        <f>AC22+Energiberegning[[#This Row],[Besparelse_m²]]*INDEX(Energiprognose[Fjernvarme],MATCH(Energiberegning!AD$7,Energiprognose[År],0))</f>
        <v>9.6548400000000001</v>
      </c>
      <c r="AE22" s="140">
        <f>AD22+Energiberegning[[#This Row],[Besparelse_m²]]*INDEX(Energiprognose[Fjernvarme],MATCH(Energiberegning!AE$7,Energiprognose[År],0))</f>
        <v>9.9646559999999997</v>
      </c>
      <c r="AF22" s="140">
        <f>AE22+Energiberegning[[#This Row],[Besparelse_m²]]*INDEX(Energiprognose[Fjernvarme],MATCH(Energiberegning!AF$7,Energiprognose[År],0))</f>
        <v>10.273536</v>
      </c>
      <c r="AG22" s="140">
        <f>AF22+Energiberegning[[#This Row],[Besparelse_m²]]*INDEX(Energiprognose[Fjernvarme],MATCH(Energiberegning!AG$7,Energiprognose[År],0))</f>
        <v>10.582416</v>
      </c>
      <c r="AH22" s="140">
        <f>AG22+Energiberegning[[#This Row],[Besparelse_m²]]*INDEX(Energiprognose[Fjernvarme],MATCH(Energiberegning!AH$7,Energiprognose[År],0))</f>
        <v>10.891296000000001</v>
      </c>
      <c r="AI22" s="140">
        <f>AH22+Energiberegning[[#This Row],[Besparelse_m²]]*INDEX(Energiprognose[Fjernvarme],MATCH(Energiberegning!AI$7,Energiprognose[År],0))</f>
        <v>11.200176000000001</v>
      </c>
      <c r="AJ22" s="140">
        <f>AI22+Energiberegning[[#This Row],[Besparelse_m²]]*INDEX(Energiprognose[Fjernvarme],MATCH(Energiberegning!AJ$7,Energiprognose[År],0))</f>
        <v>11.509056000000001</v>
      </c>
      <c r="AK22" s="140">
        <f>AJ22+Energiberegning[[#This Row],[Besparelse_m²]]*INDEX(Energiprognose[Fjernvarme],MATCH(Energiberegning!AK$7,Energiprognose[År],0))</f>
        <v>11.817936000000001</v>
      </c>
      <c r="AL22" s="140">
        <f>AK22+Energiberegning[[#This Row],[Besparelse_m²]]*INDEX(Energiprognose[Fjernvarme],MATCH(Energiberegning!AL$7,Energiprognose[År],0))</f>
        <v>12.126816000000002</v>
      </c>
      <c r="AM22" s="140">
        <f>AL22+Energiberegning[[#This Row],[Besparelse_m²]]*INDEX(Energiprognose[Fjernvarme],MATCH(Energiberegning!AM$7,Energiprognose[År],0))</f>
        <v>12.435696000000002</v>
      </c>
      <c r="AN22" s="140">
        <f>AM22+Energiberegning[[#This Row],[Besparelse_m²]]*INDEX(Energiprognose[Fjernvarme],MATCH(Energiberegning!AN$7,Energiprognose[År],0))</f>
        <v>12.744576000000002</v>
      </c>
      <c r="AO22" s="140">
        <f>AN22+Energiberegning[[#This Row],[Besparelse_m²]]*INDEX(Energiprognose[Fjernvarme],MATCH(Energiberegning!AO$7,Energiprognose[År],0))</f>
        <v>13.053456000000002</v>
      </c>
      <c r="AP22" s="140">
        <f>AO22+Energiberegning[[#This Row],[Besparelse_m²]]*INDEX(Energiprognose[Fjernvarme],MATCH(Energiberegning!AP$7,Energiprognose[År],0))</f>
        <v>13.362336000000003</v>
      </c>
      <c r="AQ22" s="140">
        <f>AP22+Energiberegning[[#This Row],[Besparelse_m²]]*INDEX(Energiprognose[Fjernvarme],MATCH(Energiberegning!AQ$7,Energiprognose[År],0))</f>
        <v>13.671216000000003</v>
      </c>
      <c r="AR22" s="140">
        <f>AQ22+Energiberegning[[#This Row],[Besparelse_m²]]*INDEX(Energiprognose[Fjernvarme],MATCH(Energiberegning!AR$7,Energiprognose[År],0))</f>
        <v>13.980096000000003</v>
      </c>
      <c r="AS22" s="140">
        <f>AR22+Energiberegning[[#This Row],[Besparelse_m²]]*INDEX(Energiprognose[Fjernvarme],MATCH(Energiberegning!AS$7,Energiprognose[År],0))</f>
        <v>14.288976000000003</v>
      </c>
      <c r="AT22" s="140">
        <f>AS22+Energiberegning[[#This Row],[Besparelse_m²]]*INDEX(Energiprognose[Fjernvarme],MATCH(Energiberegning!AT$7,Energiprognose[År],0))</f>
        <v>14.597856000000004</v>
      </c>
      <c r="AU22" s="140">
        <f>AT22+Energiberegning[[#This Row],[Besparelse_m²]]*INDEX(Energiprognose[Fjernvarme],MATCH(Energiberegning!AU$7,Energiprognose[År],0))</f>
        <v>14.906736000000004</v>
      </c>
      <c r="AV22" s="140">
        <f>AU22+Energiberegning[[#This Row],[Besparelse_m²]]*INDEX(Energiprognose[Fjernvarme],MATCH(Energiberegning!AV$7,Energiprognose[År],0))</f>
        <v>15.215616000000004</v>
      </c>
      <c r="AW22" s="140">
        <f>AV22+Energiberegning[[#This Row],[Besparelse_m²]]*INDEX(Energiprognose[Fjernvarme],MATCH(Energiberegning!AW$7,Energiprognose[År],0))</f>
        <v>15.524496000000005</v>
      </c>
      <c r="AX22" s="140">
        <f>AW22+Energiberegning[[#This Row],[Besparelse_m²]]*INDEX(Energiprognose[Fjernvarme],MATCH(Energiberegning!AX$7,Energiprognose[År],0))</f>
        <v>15.833376000000005</v>
      </c>
      <c r="AY22" s="140">
        <f>AX22+Energiberegning[[#This Row],[Besparelse_m²]]*INDEX(Energiprognose[Fjernvarme],MATCH(Energiberegning!AY$7,Energiprognose[År],0))</f>
        <v>16.142256000000003</v>
      </c>
      <c r="AZ22" s="140">
        <f>AY22+Energiberegning[[#This Row],[Besparelse_m²]]*INDEX(Energiprognose[Fjernvarme],MATCH(Energiberegning!AZ$7,Energiprognose[År],0))</f>
        <v>16.451136000000002</v>
      </c>
      <c r="BA22" s="140">
        <f>AZ22+Energiberegning[[#This Row],[Besparelse_m²]]*INDEX(Energiprognose[Fjernvarme],MATCH(Energiberegning!BA$7,Energiprognose[År],0))</f>
        <v>16.760016</v>
      </c>
      <c r="BB22" s="140">
        <f>BA22+Energiberegning[[#This Row],[Besparelse_m²]]*INDEX(Energiprognose[Fjernvarme],MATCH(Energiberegning!BB$7,Energiprognose[År],0))</f>
        <v>17.068895999999999</v>
      </c>
      <c r="BC22" s="140">
        <f>BB22+Energiberegning[[#This Row],[Besparelse_m²]]*INDEX(Energiprognose[Fjernvarme],MATCH(Energiberegning!BC$7,Energiprognose[År],0))</f>
        <v>17.377775999999997</v>
      </c>
      <c r="BD22" s="140">
        <f>BC22+Energiberegning[[#This Row],[Besparelse_m²]]*INDEX(Energiprognose[Fjernvarme],MATCH(Energiberegning!BD$7,Energiprognose[År],0))</f>
        <v>17.686655999999996</v>
      </c>
      <c r="BE22" s="140">
        <f>BD22+Energiberegning[[#This Row],[Besparelse_m²]]*INDEX(Energiprognose[Fjernvarme],MATCH(Energiberegning!BE$7,Energiprognose[År],0))</f>
        <v>17.995535999999994</v>
      </c>
      <c r="BF22" s="140">
        <f>BE22+Energiberegning[[#This Row],[Besparelse_m²]]*INDEX(Energiprognose[Fjernvarme],MATCH(Energiberegning!BF$7,Energiprognose[År],0))</f>
        <v>18.304415999999993</v>
      </c>
      <c r="BG22" s="140">
        <f>BF22+Energiberegning[[#This Row],[Besparelse_m²]]*INDEX(Energiprognose[Fjernvarme],MATCH(Energiberegning!BG$7,Energiprognose[År],0))</f>
        <v>18.613295999999991</v>
      </c>
      <c r="BH22" s="140">
        <f>BG22+Energiberegning[[#This Row],[Besparelse_m²]]*INDEX(Energiprognose[Fjernvarme],MATCH(Energiberegning!BH$7,Energiprognose[År],0))</f>
        <v>18.92217599999999</v>
      </c>
      <c r="BI22" s="140">
        <f>BH22+Energiberegning[[#This Row],[Besparelse_m²]]*INDEX(Energiprognose[Fjernvarme],MATCH(Energiberegning!BI$7,Energiprognose[År],0))</f>
        <v>19.231055999999988</v>
      </c>
      <c r="BJ22" s="140">
        <f>BI22+Energiberegning[[#This Row],[Besparelse_m²]]*INDEX(Energiprognose[Fjernvarme],MATCH(Energiberegning!BJ$7,Energiprognose[År],0))</f>
        <v>19.539935999999987</v>
      </c>
      <c r="BK22" s="140">
        <f>BJ22+Energiberegning[[#This Row],[Besparelse_m²]]*INDEX(Energiprognose[Fjernvarme],MATCH(Energiberegning!BK$7,Energiprognose[År],0))</f>
        <v>19.848815999999985</v>
      </c>
      <c r="BL22" s="140">
        <f>BK22+Energiberegning[[#This Row],[Besparelse_m²]]*INDEX(Energiprognose[Fjernvarme],MATCH(Energiberegning!BL$7,Energiprognose[År],0))</f>
        <v>20.157695999999984</v>
      </c>
      <c r="BM22" s="140">
        <f>BL22+Energiberegning[[#This Row],[Besparelse_m²]]*INDEX(Energiprognose[Fjernvarme],MATCH(Energiberegning!BM$7,Energiprognose[År],0))</f>
        <v>20.466575999999982</v>
      </c>
      <c r="BN22" s="140">
        <f>BM22+Energiberegning[[#This Row],[Besparelse_m²]]*INDEX(Energiprognose[Fjernvarme],MATCH(Energiberegning!BN$7,Energiprognose[År],0))</f>
        <v>20.775455999999981</v>
      </c>
      <c r="BO22" s="140">
        <f>BN22+Energiberegning[[#This Row],[Besparelse_m²]]*INDEX(Energiprognose[Fjernvarme],MATCH(Energiberegning!BO$7,Energiprognose[År],0))</f>
        <v>21.084335999999979</v>
      </c>
      <c r="BP22" s="140">
        <f>BO22+Energiberegning[[#This Row],[Besparelse_m²]]*INDEX(Energiprognose[Fjernvarme],MATCH(Energiberegning!BP$7,Energiprognose[År],0))</f>
        <v>21.393215999999978</v>
      </c>
      <c r="BQ22" s="140">
        <f>BP22+Energiberegning[[#This Row],[Besparelse_m²]]*INDEX(Energiprognose[Fjernvarme],MATCH(Energiberegning!BQ$7,Energiprognose[År],0))</f>
        <v>21.702095999999976</v>
      </c>
      <c r="BR22" s="140">
        <f>BQ22+Energiberegning[[#This Row],[Besparelse_m²]]*INDEX(Energiprognose[Fjernvarme],MATCH(Energiberegning!BR$7,Energiprognose[År],0))</f>
        <v>22.010975999999975</v>
      </c>
      <c r="BS22" s="140">
        <f>BR22+Energiberegning[[#This Row],[Besparelse_m²]]*INDEX(Energiprognose[Fjernvarme],MATCH(Energiberegning!BS$7,Energiprognose[År],0))</f>
        <v>22.319855999999973</v>
      </c>
      <c r="BT22" s="140">
        <f>BS22+Energiberegning[[#This Row],[Besparelse_m²]]*INDEX(Energiprognose[Fjernvarme],MATCH(Energiberegning!BT$7,Energiprognose[År],0))</f>
        <v>22.628735999999972</v>
      </c>
      <c r="BU22" s="140">
        <f>BT22+Energiberegning[[#This Row],[Besparelse_m²]]*INDEX(Energiprognose[Fjernvarme],MATCH(Energiberegning!BU$7,Energiprognose[År],0))</f>
        <v>22.93761599999997</v>
      </c>
      <c r="BV22" s="140">
        <f>BU22+Energiberegning[[#This Row],[Besparelse_m²]]*INDEX(Energiprognose[Fjernvarme],MATCH(Energiberegning!BV$7,Energiprognose[År],0))</f>
        <v>23.246495999999969</v>
      </c>
      <c r="BW22" s="140">
        <f>BV22+Energiberegning[[#This Row],[Besparelse_m²]]*INDEX(Energiprognose[Fjernvarme],MATCH(Energiberegning!BW$7,Energiprognose[År],0))</f>
        <v>23.555375999999967</v>
      </c>
      <c r="BX22" s="140">
        <f>BW22+Energiberegning[[#This Row],[Besparelse_m²]]*INDEX(Energiprognose[Fjernvarme],MATCH(Energiberegning!BX$7,Energiprognose[År],0))</f>
        <v>23.864255999999965</v>
      </c>
      <c r="BY22" s="140">
        <f>BX22+Energiberegning[[#This Row],[Besparelse_m²]]*INDEX(Energiprognose[Fjernvarme],MATCH(Energiberegning!BY$7,Energiprognose[År],0))</f>
        <v>24.173135999999964</v>
      </c>
      <c r="BZ22" s="140">
        <f>BY22+Energiberegning[[#This Row],[Besparelse_m²]]*INDEX(Energiprognose[Fjernvarme],MATCH(Energiberegning!BZ$7,Energiprognose[År],0))</f>
        <v>24.482015999999962</v>
      </c>
      <c r="CA22" s="140">
        <f>BZ22+Energiberegning[[#This Row],[Besparelse_m²]]*INDEX(Energiprognose[Fjernvarme],MATCH(Energiberegning!CA$7,Energiprognose[År],0))</f>
        <v>24.790895999999961</v>
      </c>
      <c r="CB22" s="140">
        <f>CA22+Energiberegning[[#This Row],[Besparelse_m²]]*INDEX(Energiprognose[Fjernvarme],MATCH(Energiberegning!CB$7,Energiprognose[År],0))</f>
        <v>25.099775999999959</v>
      </c>
      <c r="CC22" s="140">
        <f>CB22+Energiberegning[[#This Row],[Besparelse_m²]]*INDEX(Energiprognose[Fjernvarme],MATCH(Energiberegning!CC$7,Energiprognose[År],0))</f>
        <v>25.408655999999958</v>
      </c>
      <c r="CD22" s="140">
        <f>CC22+Energiberegning[[#This Row],[Besparelse_m²]]*INDEX(Energiprognose[Fjernvarme],MATCH(Energiberegning!CD$7,Energiprognose[År],0))</f>
        <v>25.717535999999956</v>
      </c>
      <c r="CE22" s="140">
        <f>CD22+Energiberegning[[#This Row],[Besparelse_m²]]*INDEX(Energiprognose[Fjernvarme],MATCH(Energiberegning!CE$7,Energiprognose[År],0))</f>
        <v>26.026415999999955</v>
      </c>
      <c r="CF22" s="140">
        <f>CE22+Energiberegning[[#This Row],[Besparelse_m²]]*INDEX(Energiprognose[Fjernvarme],MATCH(Energiberegning!CF$7,Energiprognose[År],0))</f>
        <v>26.335295999999953</v>
      </c>
      <c r="CG22" s="140">
        <f>CF22+Energiberegning[[#This Row],[Besparelse_m²]]*INDEX(Energiprognose[Fjernvarme],MATCH(Energiberegning!CG$7,Energiprognose[År],0))</f>
        <v>26.644175999999952</v>
      </c>
      <c r="CH22" s="140">
        <f>CG22+Energiberegning[[#This Row],[Besparelse_m²]]*INDEX(Energiprognose[Fjernvarme],MATCH(Energiberegning!CH$7,Energiprognose[År],0))</f>
        <v>26.95305599999995</v>
      </c>
      <c r="CI22" s="140">
        <f>CH22+Energiberegning[[#This Row],[Besparelse_m²]]*INDEX(Energiprognose[Fjernvarme],MATCH(Energiberegning!CI$7,Energiprognose[År],0))</f>
        <v>27.261935999999949</v>
      </c>
      <c r="CJ22" s="140">
        <f>CI22+Energiberegning[[#This Row],[Besparelse_m²]]*INDEX(Energiprognose[Fjernvarme],MATCH(Energiberegning!CJ$7,Energiprognose[År],0))</f>
        <v>27.570815999999947</v>
      </c>
      <c r="CK22" s="140">
        <f>CJ22+Energiberegning[[#This Row],[Besparelse_m²]]*INDEX(Energiprognose[Fjernvarme],MATCH(Energiberegning!CK$7,Energiprognose[År],0))</f>
        <v>27.879695999999946</v>
      </c>
      <c r="CL22" s="140">
        <f>CK22+Energiberegning[[#This Row],[Besparelse_m²]]*INDEX(Energiprognose[Fjernvarme],MATCH(Energiberegning!CL$7,Energiprognose[År],0))</f>
        <v>28.188575999999944</v>
      </c>
      <c r="CM22" s="140">
        <f>CL22+Energiberegning[[#This Row],[Besparelse_m²]]*INDEX(Energiprognose[Fjernvarme],MATCH(Energiberegning!CM$7,Energiprognose[År],0))</f>
        <v>28.497455999999943</v>
      </c>
      <c r="CN22" s="19"/>
    </row>
    <row r="23" spans="1:92">
      <c r="A23" t="s">
        <v>533</v>
      </c>
      <c r="B23" s="139">
        <f>_xlfn.NUMBERVALUE(LEFT(Energiberegning[[#This Row],[Ydervæg]],2))</f>
        <v>60</v>
      </c>
      <c r="C23">
        <v>100</v>
      </c>
      <c r="D23">
        <v>200</v>
      </c>
      <c r="E23">
        <f>Energiberegning[[#This Row],[Nuværende isolering]]+Energiberegning[[#This Row],[Efterisolering]]</f>
        <v>300</v>
      </c>
      <c r="G23">
        <v>0.12</v>
      </c>
      <c r="H23" s="120">
        <v>27360</v>
      </c>
      <c r="I23">
        <f>Energiberegning[[#This Row],[Besparelse_1000_m²]]/1000</f>
        <v>27.36</v>
      </c>
      <c r="J23" s="159">
        <v>0</v>
      </c>
      <c r="K23" s="152">
        <f>Energiberegning[[#This Row],[Besparelse_m²]]*INDEX(Energiprognose[Fjernvarme],MATCH(Energiberegning!K$7,Energiprognose[År],0))</f>
        <v>1.2733344</v>
      </c>
      <c r="L23" s="140">
        <f>K23+Energiberegning[[#This Row],[Besparelse_m²]]*INDEX(Energiprognose[Fjernvarme],MATCH(Energiberegning!L$7,Energiprognose[År],0))</f>
        <v>2.4169824000000002</v>
      </c>
      <c r="M23" s="140">
        <f>L23+Energiberegning[[#This Row],[Besparelse_m²]]*INDEX(Energiprognose[Fjernvarme],MATCH(Energiberegning!M$7,Energiprognose[År],0))</f>
        <v>3.4309440000000002</v>
      </c>
      <c r="N23" s="140">
        <f>M23+Energiberegning[[#This Row],[Besparelse_m²]]*INDEX(Energiprognose[Fjernvarme],MATCH(Energiberegning!N$7,Energiprognose[År],0))</f>
        <v>4.3152191999999996</v>
      </c>
      <c r="O23" s="140">
        <f>N23+Energiberegning[[#This Row],[Besparelse_m²]]*INDEX(Energiprognose[Fjernvarme],MATCH(Energiberegning!O$7,Energiprognose[År],0))</f>
        <v>5.0698079999999992</v>
      </c>
      <c r="P23" s="140">
        <f>O23+Energiberegning[[#This Row],[Besparelse_m²]]*INDEX(Energiprognose[Fjernvarme],MATCH(Energiberegning!P$7,Energiprognose[År],0))</f>
        <v>5.6947103999999991</v>
      </c>
      <c r="Q23" s="140">
        <f>P23+Energiberegning[[#This Row],[Besparelse_m²]]*INDEX(Energiprognose[Fjernvarme],MATCH(Energiberegning!Q$7,Energiprognose[År],0))</f>
        <v>6.1899263999999992</v>
      </c>
      <c r="R23" s="140">
        <f>Q23+Energiberegning[[#This Row],[Besparelse_m²]]*INDEX(Energiprognose[Fjernvarme],MATCH(Energiberegning!R$7,Energiprognose[År],0))</f>
        <v>6.6627071999999989</v>
      </c>
      <c r="S23" s="140">
        <f>R23+Energiberegning[[#This Row],[Besparelse_m²]]*INDEX(Energiprognose[Fjernvarme],MATCH(Energiberegning!S$7,Energiprognose[År],0))</f>
        <v>7.1130527999999993</v>
      </c>
      <c r="T23" s="140">
        <f>S23+Energiberegning[[#This Row],[Besparelse_m²]]*INDEX(Energiprognose[Fjernvarme],MATCH(Energiberegning!T$7,Energiprognose[År],0))</f>
        <v>7.5409631999999993</v>
      </c>
      <c r="U23" s="140">
        <f>T23+Energiberegning[[#This Row],[Besparelse_m²]]*INDEX(Energiprognose[Fjernvarme],MATCH(Energiberegning!U$7,Energiprognose[År],0))</f>
        <v>7.946438399999999</v>
      </c>
      <c r="V23" s="140">
        <f>U23+Energiberegning[[#This Row],[Besparelse_m²]]*INDEX(Energiprognose[Fjernvarme],MATCH(Energiberegning!V$7,Energiprognose[År],0))</f>
        <v>8.3294783999999993</v>
      </c>
      <c r="W23" s="140">
        <f>V23+Energiberegning[[#This Row],[Besparelse_m²]]*INDEX(Energiprognose[Fjernvarme],MATCH(Energiberegning!W$7,Energiprognose[År],0))</f>
        <v>8.7092351999999984</v>
      </c>
      <c r="X23" s="140">
        <f>W23+Energiberegning[[#This Row],[Besparelse_m²]]*INDEX(Energiprognose[Fjernvarme],MATCH(Energiberegning!X$7,Energiprognose[År],0))</f>
        <v>9.085708799999999</v>
      </c>
      <c r="Y23" s="140">
        <f>X23+Energiberegning[[#This Row],[Besparelse_m²]]*INDEX(Energiprognose[Fjernvarme],MATCH(Energiberegning!Y$7,Energiprognose[År],0))</f>
        <v>9.4588991999999994</v>
      </c>
      <c r="Z23" s="140">
        <f>Y23+Energiberegning[[#This Row],[Besparelse_m²]]*INDEX(Energiprognose[Fjernvarme],MATCH(Energiberegning!Z$7,Energiprognose[År],0))</f>
        <v>9.8288063999999995</v>
      </c>
      <c r="AA23" s="140">
        <f>Z23+Energiberegning[[#This Row],[Besparelse_m²]]*INDEX(Energiprognose[Fjernvarme],MATCH(Energiberegning!AA$7,Energiprognose[År],0))</f>
        <v>10.195430399999999</v>
      </c>
      <c r="AB23" s="140">
        <f>AA23+Energiberegning[[#This Row],[Besparelse_m²]]*INDEX(Energiprognose[Fjernvarme],MATCH(Energiberegning!AB$7,Energiprognose[År],0))</f>
        <v>10.56096</v>
      </c>
      <c r="AC23" s="140">
        <f>AB23+Energiberegning[[#This Row],[Besparelse_m²]]*INDEX(Energiprognose[Fjernvarme],MATCH(Energiberegning!AC$7,Energiprognose[År],0))</f>
        <v>10.925395200000001</v>
      </c>
      <c r="AD23" s="140">
        <f>AC23+Energiberegning[[#This Row],[Besparelse_m²]]*INDEX(Energiprognose[Fjernvarme],MATCH(Energiberegning!AD$7,Energiprognose[År],0))</f>
        <v>11.288736</v>
      </c>
      <c r="AE23" s="140">
        <f>AD23+Energiberegning[[#This Row],[Besparelse_m²]]*INDEX(Energiprognose[Fjernvarme],MATCH(Energiberegning!AE$7,Energiprognose[År],0))</f>
        <v>11.6509824</v>
      </c>
      <c r="AF23" s="140">
        <f>AE23+Energiberegning[[#This Row],[Besparelse_m²]]*INDEX(Energiprognose[Fjernvarme],MATCH(Energiberegning!AF$7,Energiprognose[År],0))</f>
        <v>12.012134400000001</v>
      </c>
      <c r="AG23" s="140">
        <f>AF23+Energiberegning[[#This Row],[Besparelse_m²]]*INDEX(Energiprognose[Fjernvarme],MATCH(Energiberegning!AG$7,Energiprognose[År],0))</f>
        <v>12.373286400000001</v>
      </c>
      <c r="AH23" s="140">
        <f>AG23+Energiberegning[[#This Row],[Besparelse_m²]]*INDEX(Energiprognose[Fjernvarme],MATCH(Energiberegning!AH$7,Energiprognose[År],0))</f>
        <v>12.734438400000002</v>
      </c>
      <c r="AI23" s="140">
        <f>AH23+Energiberegning[[#This Row],[Besparelse_m²]]*INDEX(Energiprognose[Fjernvarme],MATCH(Energiberegning!AI$7,Energiprognose[År],0))</f>
        <v>13.095590400000003</v>
      </c>
      <c r="AJ23" s="140">
        <f>AI23+Energiberegning[[#This Row],[Besparelse_m²]]*INDEX(Energiprognose[Fjernvarme],MATCH(Energiberegning!AJ$7,Energiprognose[År],0))</f>
        <v>13.456742400000003</v>
      </c>
      <c r="AK23" s="140">
        <f>AJ23+Energiberegning[[#This Row],[Besparelse_m²]]*INDEX(Energiprognose[Fjernvarme],MATCH(Energiberegning!AK$7,Energiprognose[År],0))</f>
        <v>13.817894400000004</v>
      </c>
      <c r="AL23" s="140">
        <f>AK23+Energiberegning[[#This Row],[Besparelse_m²]]*INDEX(Energiprognose[Fjernvarme],MATCH(Energiberegning!AL$7,Energiprognose[År],0))</f>
        <v>14.179046400000004</v>
      </c>
      <c r="AM23" s="140">
        <f>AL23+Energiberegning[[#This Row],[Besparelse_m²]]*INDEX(Energiprognose[Fjernvarme],MATCH(Energiberegning!AM$7,Energiprognose[År],0))</f>
        <v>14.540198400000005</v>
      </c>
      <c r="AN23" s="140">
        <f>AM23+Energiberegning[[#This Row],[Besparelse_m²]]*INDEX(Energiprognose[Fjernvarme],MATCH(Energiberegning!AN$7,Energiprognose[År],0))</f>
        <v>14.901350400000005</v>
      </c>
      <c r="AO23" s="140">
        <f>AN23+Energiberegning[[#This Row],[Besparelse_m²]]*INDEX(Energiprognose[Fjernvarme],MATCH(Energiberegning!AO$7,Energiprognose[År],0))</f>
        <v>15.262502400000006</v>
      </c>
      <c r="AP23" s="140">
        <f>AO23+Energiberegning[[#This Row],[Besparelse_m²]]*INDEX(Energiprognose[Fjernvarme],MATCH(Energiberegning!AP$7,Energiprognose[År],0))</f>
        <v>15.623654400000007</v>
      </c>
      <c r="AQ23" s="140">
        <f>AP23+Energiberegning[[#This Row],[Besparelse_m²]]*INDEX(Energiprognose[Fjernvarme],MATCH(Energiberegning!AQ$7,Energiprognose[År],0))</f>
        <v>15.984806400000007</v>
      </c>
      <c r="AR23" s="140">
        <f>AQ23+Energiberegning[[#This Row],[Besparelse_m²]]*INDEX(Energiprognose[Fjernvarme],MATCH(Energiberegning!AR$7,Energiprognose[År],0))</f>
        <v>16.345958400000008</v>
      </c>
      <c r="AS23" s="140">
        <f>AR23+Energiberegning[[#This Row],[Besparelse_m²]]*INDEX(Energiprognose[Fjernvarme],MATCH(Energiberegning!AS$7,Energiprognose[År],0))</f>
        <v>16.707110400000008</v>
      </c>
      <c r="AT23" s="140">
        <f>AS23+Energiberegning[[#This Row],[Besparelse_m²]]*INDEX(Energiprognose[Fjernvarme],MATCH(Energiberegning!AT$7,Energiprognose[År],0))</f>
        <v>17.068262400000009</v>
      </c>
      <c r="AU23" s="140">
        <f>AT23+Energiberegning[[#This Row],[Besparelse_m²]]*INDEX(Energiprognose[Fjernvarme],MATCH(Energiberegning!AU$7,Energiprognose[År],0))</f>
        <v>17.42941440000001</v>
      </c>
      <c r="AV23" s="140">
        <f>AU23+Energiberegning[[#This Row],[Besparelse_m²]]*INDEX(Energiprognose[Fjernvarme],MATCH(Energiberegning!AV$7,Energiprognose[År],0))</f>
        <v>17.79056640000001</v>
      </c>
      <c r="AW23" s="140">
        <f>AV23+Energiberegning[[#This Row],[Besparelse_m²]]*INDEX(Energiprognose[Fjernvarme],MATCH(Energiberegning!AW$7,Energiprognose[År],0))</f>
        <v>18.151718400000011</v>
      </c>
      <c r="AX23" s="140">
        <f>AW23+Energiberegning[[#This Row],[Besparelse_m²]]*INDEX(Energiprognose[Fjernvarme],MATCH(Energiberegning!AX$7,Energiprognose[År],0))</f>
        <v>18.512870400000011</v>
      </c>
      <c r="AY23" s="140">
        <f>AX23+Energiberegning[[#This Row],[Besparelse_m²]]*INDEX(Energiprognose[Fjernvarme],MATCH(Energiberegning!AY$7,Energiprognose[År],0))</f>
        <v>18.874022400000012</v>
      </c>
      <c r="AZ23" s="140">
        <f>AY23+Energiberegning[[#This Row],[Besparelse_m²]]*INDEX(Energiprognose[Fjernvarme],MATCH(Energiberegning!AZ$7,Energiprognose[År],0))</f>
        <v>19.235174400000012</v>
      </c>
      <c r="BA23" s="140">
        <f>AZ23+Energiberegning[[#This Row],[Besparelse_m²]]*INDEX(Energiprognose[Fjernvarme],MATCH(Energiberegning!BA$7,Energiprognose[År],0))</f>
        <v>19.596326400000013</v>
      </c>
      <c r="BB23" s="140">
        <f>BA23+Energiberegning[[#This Row],[Besparelse_m²]]*INDEX(Energiprognose[Fjernvarme],MATCH(Energiberegning!BB$7,Energiprognose[År],0))</f>
        <v>19.957478400000014</v>
      </c>
      <c r="BC23" s="140">
        <f>BB23+Energiberegning[[#This Row],[Besparelse_m²]]*INDEX(Energiprognose[Fjernvarme],MATCH(Energiberegning!BC$7,Energiprognose[År],0))</f>
        <v>20.318630400000014</v>
      </c>
      <c r="BD23" s="140">
        <f>BC23+Energiberegning[[#This Row],[Besparelse_m²]]*INDEX(Energiprognose[Fjernvarme],MATCH(Energiberegning!BD$7,Energiprognose[År],0))</f>
        <v>20.679782400000015</v>
      </c>
      <c r="BE23" s="140">
        <f>BD23+Energiberegning[[#This Row],[Besparelse_m²]]*INDEX(Energiprognose[Fjernvarme],MATCH(Energiberegning!BE$7,Energiprognose[År],0))</f>
        <v>21.040934400000015</v>
      </c>
      <c r="BF23" s="140">
        <f>BE23+Energiberegning[[#This Row],[Besparelse_m²]]*INDEX(Energiprognose[Fjernvarme],MATCH(Energiberegning!BF$7,Energiprognose[År],0))</f>
        <v>21.402086400000016</v>
      </c>
      <c r="BG23" s="140">
        <f>BF23+Energiberegning[[#This Row],[Besparelse_m²]]*INDEX(Energiprognose[Fjernvarme],MATCH(Energiberegning!BG$7,Energiprognose[År],0))</f>
        <v>21.763238400000017</v>
      </c>
      <c r="BH23" s="140">
        <f>BG23+Energiberegning[[#This Row],[Besparelse_m²]]*INDEX(Energiprognose[Fjernvarme],MATCH(Energiberegning!BH$7,Energiprognose[År],0))</f>
        <v>22.124390400000017</v>
      </c>
      <c r="BI23" s="140">
        <f>BH23+Energiberegning[[#This Row],[Besparelse_m²]]*INDEX(Energiprognose[Fjernvarme],MATCH(Energiberegning!BI$7,Energiprognose[År],0))</f>
        <v>22.485542400000018</v>
      </c>
      <c r="BJ23" s="140">
        <f>BI23+Energiberegning[[#This Row],[Besparelse_m²]]*INDEX(Energiprognose[Fjernvarme],MATCH(Energiberegning!BJ$7,Energiprognose[År],0))</f>
        <v>22.846694400000018</v>
      </c>
      <c r="BK23" s="140">
        <f>BJ23+Energiberegning[[#This Row],[Besparelse_m²]]*INDEX(Energiprognose[Fjernvarme],MATCH(Energiberegning!BK$7,Energiprognose[År],0))</f>
        <v>23.207846400000019</v>
      </c>
      <c r="BL23" s="140">
        <f>BK23+Energiberegning[[#This Row],[Besparelse_m²]]*INDEX(Energiprognose[Fjernvarme],MATCH(Energiberegning!BL$7,Energiprognose[År],0))</f>
        <v>23.568998400000019</v>
      </c>
      <c r="BM23" s="140">
        <f>BL23+Energiberegning[[#This Row],[Besparelse_m²]]*INDEX(Energiprognose[Fjernvarme],MATCH(Energiberegning!BM$7,Energiprognose[År],0))</f>
        <v>23.93015040000002</v>
      </c>
      <c r="BN23" s="140">
        <f>BM23+Energiberegning[[#This Row],[Besparelse_m²]]*INDEX(Energiprognose[Fjernvarme],MATCH(Energiberegning!BN$7,Energiprognose[År],0))</f>
        <v>24.291302400000021</v>
      </c>
      <c r="BO23" s="140">
        <f>BN23+Energiberegning[[#This Row],[Besparelse_m²]]*INDEX(Energiprognose[Fjernvarme],MATCH(Energiberegning!BO$7,Energiprognose[År],0))</f>
        <v>24.652454400000021</v>
      </c>
      <c r="BP23" s="140">
        <f>BO23+Energiberegning[[#This Row],[Besparelse_m²]]*INDEX(Energiprognose[Fjernvarme],MATCH(Energiberegning!BP$7,Energiprognose[År],0))</f>
        <v>25.013606400000022</v>
      </c>
      <c r="BQ23" s="140">
        <f>BP23+Energiberegning[[#This Row],[Besparelse_m²]]*INDEX(Energiprognose[Fjernvarme],MATCH(Energiberegning!BQ$7,Energiprognose[År],0))</f>
        <v>25.374758400000022</v>
      </c>
      <c r="BR23" s="140">
        <f>BQ23+Energiberegning[[#This Row],[Besparelse_m²]]*INDEX(Energiprognose[Fjernvarme],MATCH(Energiberegning!BR$7,Energiprognose[År],0))</f>
        <v>25.735910400000023</v>
      </c>
      <c r="BS23" s="140">
        <f>BR23+Energiberegning[[#This Row],[Besparelse_m²]]*INDEX(Energiprognose[Fjernvarme],MATCH(Energiberegning!BS$7,Energiprognose[År],0))</f>
        <v>26.097062400000024</v>
      </c>
      <c r="BT23" s="140">
        <f>BS23+Energiberegning[[#This Row],[Besparelse_m²]]*INDEX(Energiprognose[Fjernvarme],MATCH(Energiberegning!BT$7,Energiprognose[År],0))</f>
        <v>26.458214400000024</v>
      </c>
      <c r="BU23" s="140">
        <f>BT23+Energiberegning[[#This Row],[Besparelse_m²]]*INDEX(Energiprognose[Fjernvarme],MATCH(Energiberegning!BU$7,Energiprognose[År],0))</f>
        <v>26.819366400000025</v>
      </c>
      <c r="BV23" s="140">
        <f>BU23+Energiberegning[[#This Row],[Besparelse_m²]]*INDEX(Energiprognose[Fjernvarme],MATCH(Energiberegning!BV$7,Energiprognose[År],0))</f>
        <v>27.180518400000025</v>
      </c>
      <c r="BW23" s="140">
        <f>BV23+Energiberegning[[#This Row],[Besparelse_m²]]*INDEX(Energiprognose[Fjernvarme],MATCH(Energiberegning!BW$7,Energiprognose[År],0))</f>
        <v>27.541670400000026</v>
      </c>
      <c r="BX23" s="140">
        <f>BW23+Energiberegning[[#This Row],[Besparelse_m²]]*INDEX(Energiprognose[Fjernvarme],MATCH(Energiberegning!BX$7,Energiprognose[År],0))</f>
        <v>27.902822400000026</v>
      </c>
      <c r="BY23" s="140">
        <f>BX23+Energiberegning[[#This Row],[Besparelse_m²]]*INDEX(Energiprognose[Fjernvarme],MATCH(Energiberegning!BY$7,Energiprognose[År],0))</f>
        <v>28.263974400000027</v>
      </c>
      <c r="BZ23" s="140">
        <f>BY23+Energiberegning[[#This Row],[Besparelse_m²]]*INDEX(Energiprognose[Fjernvarme],MATCH(Energiberegning!BZ$7,Energiprognose[År],0))</f>
        <v>28.625126400000028</v>
      </c>
      <c r="CA23" s="140">
        <f>BZ23+Energiberegning[[#This Row],[Besparelse_m²]]*INDEX(Energiprognose[Fjernvarme],MATCH(Energiberegning!CA$7,Energiprognose[År],0))</f>
        <v>28.986278400000028</v>
      </c>
      <c r="CB23" s="140">
        <f>CA23+Energiberegning[[#This Row],[Besparelse_m²]]*INDEX(Energiprognose[Fjernvarme],MATCH(Energiberegning!CB$7,Energiprognose[År],0))</f>
        <v>29.347430400000029</v>
      </c>
      <c r="CC23" s="140">
        <f>CB23+Energiberegning[[#This Row],[Besparelse_m²]]*INDEX(Energiprognose[Fjernvarme],MATCH(Energiberegning!CC$7,Energiprognose[År],0))</f>
        <v>29.708582400000029</v>
      </c>
      <c r="CD23" s="140">
        <f>CC23+Energiberegning[[#This Row],[Besparelse_m²]]*INDEX(Energiprognose[Fjernvarme],MATCH(Energiberegning!CD$7,Energiprognose[År],0))</f>
        <v>30.06973440000003</v>
      </c>
      <c r="CE23" s="140">
        <f>CD23+Energiberegning[[#This Row],[Besparelse_m²]]*INDEX(Energiprognose[Fjernvarme],MATCH(Energiberegning!CE$7,Energiprognose[År],0))</f>
        <v>30.430886400000031</v>
      </c>
      <c r="CF23" s="140">
        <f>CE23+Energiberegning[[#This Row],[Besparelse_m²]]*INDEX(Energiprognose[Fjernvarme],MATCH(Energiberegning!CF$7,Energiprognose[År],0))</f>
        <v>30.792038400000031</v>
      </c>
      <c r="CG23" s="140">
        <f>CF23+Energiberegning[[#This Row],[Besparelse_m²]]*INDEX(Energiprognose[Fjernvarme],MATCH(Energiberegning!CG$7,Energiprognose[År],0))</f>
        <v>31.153190400000032</v>
      </c>
      <c r="CH23" s="140">
        <f>CG23+Energiberegning[[#This Row],[Besparelse_m²]]*INDEX(Energiprognose[Fjernvarme],MATCH(Energiberegning!CH$7,Energiprognose[År],0))</f>
        <v>31.514342400000032</v>
      </c>
      <c r="CI23" s="140">
        <f>CH23+Energiberegning[[#This Row],[Besparelse_m²]]*INDEX(Energiprognose[Fjernvarme],MATCH(Energiberegning!CI$7,Energiprognose[År],0))</f>
        <v>31.875494400000033</v>
      </c>
      <c r="CJ23" s="140">
        <f>CI23+Energiberegning[[#This Row],[Besparelse_m²]]*INDEX(Energiprognose[Fjernvarme],MATCH(Energiberegning!CJ$7,Energiprognose[År],0))</f>
        <v>32.236646400000033</v>
      </c>
      <c r="CK23" s="140">
        <f>CJ23+Energiberegning[[#This Row],[Besparelse_m²]]*INDEX(Energiprognose[Fjernvarme],MATCH(Energiberegning!CK$7,Energiprognose[År],0))</f>
        <v>32.59779840000003</v>
      </c>
      <c r="CL23" s="140">
        <f>CK23+Energiberegning[[#This Row],[Besparelse_m²]]*INDEX(Energiprognose[Fjernvarme],MATCH(Energiberegning!CL$7,Energiprognose[År],0))</f>
        <v>32.958950400000028</v>
      </c>
      <c r="CM23" s="140">
        <f>CL23+Energiberegning[[#This Row],[Besparelse_m²]]*INDEX(Energiprognose[Fjernvarme],MATCH(Energiberegning!CM$7,Energiprognose[År],0))</f>
        <v>33.320102400000025</v>
      </c>
      <c r="CN23" s="19"/>
    </row>
    <row r="24" spans="1:92">
      <c r="A24" s="19"/>
      <c r="B24" s="19"/>
      <c r="C24" s="19"/>
      <c r="D24" s="19"/>
      <c r="E24" s="19"/>
      <c r="F24" s="19"/>
      <c r="G24" s="19"/>
      <c r="H24" s="19"/>
      <c r="I24" s="19"/>
      <c r="J24" s="7"/>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row>
    <row r="25" spans="1:92">
      <c r="A25" s="19"/>
      <c r="B25" s="19"/>
      <c r="C25" s="19"/>
      <c r="D25" s="19"/>
      <c r="E25" s="19"/>
      <c r="F25" s="19"/>
      <c r="G25" s="19"/>
      <c r="H25" s="19"/>
      <c r="I25" s="19"/>
      <c r="J25" s="7"/>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row>
    <row r="26" spans="1:92">
      <c r="A26" s="19"/>
      <c r="B26" s="19"/>
      <c r="C26" s="19"/>
      <c r="D26" s="19"/>
      <c r="E26" s="19"/>
      <c r="F26" s="19"/>
      <c r="G26" s="19"/>
      <c r="H26" s="19"/>
      <c r="I26" s="19"/>
      <c r="J26" s="7"/>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row>
    <row r="27" spans="1:92">
      <c r="A27" s="19"/>
      <c r="B27" s="19"/>
      <c r="C27" s="19"/>
      <c r="D27" s="19"/>
      <c r="E27" s="19"/>
      <c r="F27" s="19"/>
      <c r="G27" s="19"/>
      <c r="H27" s="19"/>
      <c r="I27" s="19"/>
      <c r="J27" s="7"/>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row>
  </sheetData>
  <mergeCells count="8">
    <mergeCell ref="K5:U5"/>
    <mergeCell ref="H5:I6"/>
    <mergeCell ref="D5:D6"/>
    <mergeCell ref="A5:A6"/>
    <mergeCell ref="C5:C6"/>
    <mergeCell ref="E5:E6"/>
    <mergeCell ref="F5:G6"/>
    <mergeCell ref="B5:B6"/>
  </mergeCells>
  <conditionalFormatting sqref="A8:A23">
    <cfRule type="duplicateValues" dxfId="7" priority="30"/>
  </conditionalFormatting>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314FD-965E-43D6-AC38-708057E55641}">
  <sheetPr codeName="Sheet12">
    <tabColor theme="0" tint="-0.249977111117893"/>
  </sheetPr>
  <dimension ref="A1:CI111"/>
  <sheetViews>
    <sheetView workbookViewId="0">
      <selection sqref="A1:C1"/>
    </sheetView>
  </sheetViews>
  <sheetFormatPr defaultColWidth="0" defaultRowHeight="15" zeroHeight="1"/>
  <cols>
    <col min="1" max="1" width="5" bestFit="1" customWidth="1"/>
    <col min="2" max="2" width="7.7109375" bestFit="1" customWidth="1"/>
    <col min="3" max="3" width="12.42578125" bestFit="1" customWidth="1"/>
    <col min="4" max="4" width="3.85546875" customWidth="1"/>
    <col min="5" max="5" width="10.28515625" bestFit="1" customWidth="1"/>
    <col min="6" max="6" width="11.85546875" bestFit="1" customWidth="1"/>
    <col min="7" max="15" width="7.28515625" bestFit="1" customWidth="1"/>
    <col min="16" max="87" width="7.28515625" hidden="1" customWidth="1"/>
    <col min="88" max="16384" width="8.85546875" hidden="1"/>
  </cols>
  <sheetData>
    <row r="1" spans="1:15" s="50" customFormat="1">
      <c r="A1" s="572" t="s">
        <v>351</v>
      </c>
      <c r="B1" s="573"/>
      <c r="C1" s="574"/>
      <c r="D1" s="7"/>
      <c r="E1" s="7"/>
      <c r="F1" s="7"/>
      <c r="G1" s="7"/>
      <c r="H1" s="7"/>
      <c r="I1" s="7"/>
      <c r="J1" s="7"/>
      <c r="K1" s="7"/>
      <c r="L1" s="7"/>
      <c r="M1" s="7"/>
      <c r="N1" s="7"/>
      <c r="O1" s="7"/>
    </row>
    <row r="2" spans="1:15" s="50" customFormat="1">
      <c r="A2" s="284" t="s">
        <v>102</v>
      </c>
      <c r="B2" s="285" t="s">
        <v>196</v>
      </c>
      <c r="C2" s="286" t="s">
        <v>197</v>
      </c>
      <c r="D2" s="7"/>
      <c r="E2" s="7"/>
      <c r="F2" s="7"/>
      <c r="G2" s="7"/>
      <c r="H2" s="7"/>
      <c r="I2" s="7"/>
      <c r="J2" s="7"/>
      <c r="K2" s="7"/>
      <c r="L2" s="7"/>
      <c r="M2" s="7"/>
      <c r="N2" s="7"/>
      <c r="O2" s="7"/>
    </row>
    <row r="3" spans="1:15" s="50" customFormat="1">
      <c r="A3" s="129">
        <v>2024</v>
      </c>
      <c r="B3" s="128">
        <f>B4+(B4-B9)/5</f>
        <v>8.9620000000000005E-2</v>
      </c>
      <c r="C3" s="128">
        <f>C4+(C4-C9)/5</f>
        <v>4.6539999999999998E-2</v>
      </c>
      <c r="D3" s="7"/>
      <c r="E3" s="7"/>
      <c r="F3" s="7"/>
      <c r="G3" s="7"/>
      <c r="H3" s="7"/>
      <c r="I3" s="7"/>
      <c r="J3" s="7"/>
      <c r="K3" s="7"/>
      <c r="L3" s="7"/>
      <c r="M3" s="7"/>
      <c r="N3" s="7"/>
      <c r="O3" s="7"/>
    </row>
    <row r="4" spans="1:15">
      <c r="A4" s="129">
        <v>2025</v>
      </c>
      <c r="B4" s="128">
        <v>8.0100000000000005E-2</v>
      </c>
      <c r="C4" s="128">
        <v>4.1799999999999997E-2</v>
      </c>
      <c r="D4" s="19"/>
      <c r="E4" s="19"/>
      <c r="F4" s="19"/>
      <c r="G4" s="19"/>
      <c r="H4" s="19"/>
      <c r="I4" s="19"/>
      <c r="J4" s="19"/>
      <c r="K4" s="19"/>
      <c r="L4" s="19"/>
      <c r="M4" s="19"/>
      <c r="N4" s="19"/>
      <c r="O4" s="19"/>
    </row>
    <row r="5" spans="1:15">
      <c r="A5" s="129">
        <v>2026</v>
      </c>
      <c r="B5" s="128">
        <f>B4-($B$4-$B$9)/5</f>
        <v>7.0580000000000004E-2</v>
      </c>
      <c r="C5" s="128">
        <f>C4-($C$4-$C$9)/5</f>
        <v>3.7059999999999996E-2</v>
      </c>
      <c r="D5" s="19"/>
      <c r="E5" s="19"/>
      <c r="F5" s="19"/>
      <c r="G5" s="19"/>
      <c r="H5" s="19"/>
      <c r="I5" s="19"/>
      <c r="J5" s="19"/>
      <c r="K5" s="19"/>
      <c r="L5" s="343"/>
      <c r="M5" s="19"/>
      <c r="N5" s="19"/>
      <c r="O5" s="19"/>
    </row>
    <row r="6" spans="1:15">
      <c r="A6" s="129">
        <v>2027</v>
      </c>
      <c r="B6" s="128">
        <f>B5-($B$4-$B$9)/5</f>
        <v>6.1060000000000003E-2</v>
      </c>
      <c r="C6" s="128">
        <f>C5-($C$4-$C$9)/5</f>
        <v>3.2319999999999995E-2</v>
      </c>
      <c r="D6" s="19"/>
      <c r="E6" s="19"/>
      <c r="F6" s="19"/>
      <c r="G6" s="19"/>
      <c r="H6" s="19"/>
      <c r="I6" s="19"/>
      <c r="J6" s="19"/>
      <c r="K6" s="19"/>
      <c r="L6" s="19"/>
      <c r="M6" s="19"/>
      <c r="N6" s="19"/>
      <c r="O6" s="19"/>
    </row>
    <row r="7" spans="1:15">
      <c r="A7" s="129">
        <v>2028</v>
      </c>
      <c r="B7" s="128">
        <f>B6-($B$4-$B$9)/5</f>
        <v>5.1540000000000002E-2</v>
      </c>
      <c r="C7" s="128">
        <f>C6-($C$4-$C$9)/5</f>
        <v>2.7579999999999993E-2</v>
      </c>
      <c r="D7" s="19"/>
      <c r="E7" s="19"/>
      <c r="F7" s="19"/>
      <c r="G7" s="19"/>
      <c r="H7" s="19"/>
      <c r="I7" s="19"/>
      <c r="J7" s="19"/>
      <c r="K7" s="19"/>
      <c r="L7" s="19"/>
      <c r="M7" s="19"/>
      <c r="N7" s="19"/>
      <c r="O7" s="19"/>
    </row>
    <row r="8" spans="1:15">
      <c r="A8" s="129">
        <v>2029</v>
      </c>
      <c r="B8" s="128">
        <f>B7-($B$4-$B$9)/5</f>
        <v>4.2020000000000002E-2</v>
      </c>
      <c r="C8" s="128">
        <f>C7-($C$4-$C$9)/5</f>
        <v>2.2839999999999992E-2</v>
      </c>
      <c r="D8" s="19"/>
      <c r="E8" s="19"/>
      <c r="F8" s="19"/>
      <c r="G8" s="19"/>
      <c r="H8" s="19"/>
      <c r="I8" s="19"/>
      <c r="J8" s="19"/>
      <c r="K8" s="19"/>
      <c r="L8" s="19"/>
      <c r="M8" s="19"/>
      <c r="N8" s="19"/>
      <c r="O8" s="19"/>
    </row>
    <row r="9" spans="1:15">
      <c r="A9" s="129">
        <v>2030</v>
      </c>
      <c r="B9" s="128">
        <v>3.2500000000000001E-2</v>
      </c>
      <c r="C9" s="128">
        <v>1.8100000000000002E-2</v>
      </c>
      <c r="D9" s="19"/>
      <c r="E9" s="19"/>
      <c r="F9" s="19"/>
      <c r="G9" s="19"/>
      <c r="H9" s="19"/>
      <c r="I9" s="19"/>
      <c r="J9" s="19"/>
      <c r="K9" s="19"/>
      <c r="L9" s="19"/>
      <c r="M9" s="19"/>
      <c r="N9" s="19"/>
      <c r="O9" s="19"/>
    </row>
    <row r="10" spans="1:15">
      <c r="A10" s="129">
        <v>2031</v>
      </c>
      <c r="B10" s="128">
        <f>B9-($B$9-$B$14)/5</f>
        <v>3.1820000000000001E-2</v>
      </c>
      <c r="C10" s="128">
        <f>C9-($C$9-$C$14)/5</f>
        <v>1.728E-2</v>
      </c>
      <c r="D10" s="19"/>
      <c r="E10" s="571" t="s">
        <v>198</v>
      </c>
      <c r="F10" s="571"/>
      <c r="G10" s="571"/>
      <c r="H10" s="19"/>
      <c r="I10" s="19"/>
      <c r="J10" s="19"/>
      <c r="K10" s="19"/>
      <c r="L10" s="19"/>
      <c r="M10" s="19"/>
      <c r="N10" s="19"/>
    </row>
    <row r="11" spans="1:15">
      <c r="A11" s="129">
        <v>2032</v>
      </c>
      <c r="B11" s="128">
        <f>B10-($B$9-$B$14)/5</f>
        <v>3.1140000000000001E-2</v>
      </c>
      <c r="C11" s="128">
        <f>C10-($C$9-$C$14)/5</f>
        <v>1.6459999999999999E-2</v>
      </c>
      <c r="D11" s="19"/>
      <c r="E11" s="19"/>
      <c r="F11" s="19"/>
      <c r="G11" s="19"/>
      <c r="H11" s="19"/>
      <c r="I11" s="19"/>
      <c r="J11" s="19"/>
      <c r="K11" s="19"/>
      <c r="L11" s="19"/>
      <c r="M11" s="19"/>
      <c r="N11" s="19"/>
      <c r="O11" s="19"/>
    </row>
    <row r="12" spans="1:15">
      <c r="A12" s="129">
        <v>2033</v>
      </c>
      <c r="B12" s="128">
        <f>B11-($B$9-$B$14)/5</f>
        <v>3.0460000000000001E-2</v>
      </c>
      <c r="C12" s="128">
        <f>C11-($C$9-$C$14)/5</f>
        <v>1.5639999999999998E-2</v>
      </c>
      <c r="D12" s="19"/>
      <c r="E12" s="19"/>
      <c r="F12" s="19"/>
      <c r="G12" s="19"/>
      <c r="H12" s="19"/>
      <c r="I12" s="19"/>
      <c r="J12" s="19"/>
      <c r="K12" s="19"/>
      <c r="L12" s="19"/>
      <c r="M12" s="19"/>
      <c r="N12" s="19"/>
      <c r="O12" s="19"/>
    </row>
    <row r="13" spans="1:15">
      <c r="A13" s="129">
        <v>2034</v>
      </c>
      <c r="B13" s="128">
        <f>B12-($B$9-$B$14)/5</f>
        <v>2.9780000000000001E-2</v>
      </c>
      <c r="C13" s="128">
        <f>C12-($C$9-$C$14)/5</f>
        <v>1.4819999999999998E-2</v>
      </c>
      <c r="D13" s="19"/>
      <c r="E13" s="19"/>
      <c r="F13" s="19"/>
      <c r="G13" s="19"/>
      <c r="H13" s="19"/>
      <c r="I13" s="19"/>
      <c r="J13" s="19"/>
      <c r="K13" s="19"/>
      <c r="L13" s="19"/>
      <c r="M13" s="19"/>
      <c r="N13" s="19"/>
      <c r="O13" s="19"/>
    </row>
    <row r="14" spans="1:15">
      <c r="A14" s="129">
        <v>2035</v>
      </c>
      <c r="B14" s="128">
        <v>2.9100000000000001E-2</v>
      </c>
      <c r="C14" s="128">
        <v>1.4E-2</v>
      </c>
      <c r="D14" s="19"/>
      <c r="E14" s="19"/>
      <c r="F14" s="19"/>
      <c r="G14" s="19"/>
      <c r="H14" s="19"/>
      <c r="I14" s="19"/>
      <c r="J14" s="19"/>
      <c r="K14" s="19"/>
      <c r="L14" s="19"/>
      <c r="M14" s="19"/>
      <c r="N14" s="19"/>
      <c r="O14" s="19"/>
    </row>
    <row r="15" spans="1:15">
      <c r="A15" s="129">
        <v>2036</v>
      </c>
      <c r="B15" s="128">
        <f>B14-($B$14-$B$19)/5</f>
        <v>2.8980000000000002E-2</v>
      </c>
      <c r="C15" s="128">
        <f>C14-($C$14-$C$19)/5</f>
        <v>1.388E-2</v>
      </c>
      <c r="D15" s="19"/>
      <c r="E15" s="19"/>
      <c r="F15" s="19"/>
      <c r="G15" s="19"/>
      <c r="H15" s="19"/>
      <c r="I15" s="19"/>
      <c r="J15" s="19"/>
      <c r="K15" s="19"/>
      <c r="L15" s="19"/>
      <c r="M15" s="19"/>
      <c r="N15" s="19"/>
      <c r="O15" s="19"/>
    </row>
    <row r="16" spans="1:15">
      <c r="A16" s="129">
        <v>2037</v>
      </c>
      <c r="B16" s="128">
        <f>B15-($B$14-$B$19)/5</f>
        <v>2.8860000000000004E-2</v>
      </c>
      <c r="C16" s="128">
        <f>C15-($C$14-$C$19)/5</f>
        <v>1.376E-2</v>
      </c>
      <c r="D16" s="19"/>
      <c r="E16" s="19"/>
      <c r="F16" s="19"/>
      <c r="G16" s="19"/>
      <c r="H16" s="19"/>
      <c r="I16" s="19"/>
      <c r="J16" s="19"/>
      <c r="K16" s="19"/>
      <c r="L16" s="19"/>
      <c r="M16" s="19"/>
      <c r="N16" s="19"/>
      <c r="O16" s="19"/>
    </row>
    <row r="17" spans="1:15">
      <c r="A17" s="129">
        <v>2038</v>
      </c>
      <c r="B17" s="128">
        <f>B16-($B$14-$B$19)/5</f>
        <v>2.8740000000000005E-2</v>
      </c>
      <c r="C17" s="128">
        <f>C16-($C$14-$C$19)/5</f>
        <v>1.3639999999999999E-2</v>
      </c>
      <c r="D17" s="19"/>
      <c r="E17" s="19"/>
      <c r="F17" s="19"/>
      <c r="G17" s="19"/>
      <c r="H17" s="19"/>
      <c r="I17" s="19"/>
      <c r="J17" s="19"/>
      <c r="K17" s="19"/>
      <c r="L17" s="19"/>
      <c r="M17" s="19"/>
      <c r="N17" s="19"/>
      <c r="O17" s="19"/>
    </row>
    <row r="18" spans="1:15">
      <c r="A18" s="129">
        <v>2039</v>
      </c>
      <c r="B18" s="128">
        <f>B17-($B$14-$B$19)/5</f>
        <v>2.8620000000000007E-2</v>
      </c>
      <c r="C18" s="128">
        <f>C17-($C$14-$C$19)/5</f>
        <v>1.3519999999999999E-2</v>
      </c>
      <c r="D18" s="19"/>
      <c r="E18" s="19"/>
      <c r="F18" s="19"/>
      <c r="G18" s="19"/>
      <c r="H18" s="19"/>
      <c r="I18" s="19"/>
      <c r="J18" s="19"/>
      <c r="K18" s="19"/>
      <c r="L18" s="19"/>
      <c r="M18" s="19"/>
      <c r="N18" s="19"/>
      <c r="O18" s="19"/>
    </row>
    <row r="19" spans="1:15">
      <c r="A19" s="129">
        <v>2040</v>
      </c>
      <c r="B19" s="128">
        <v>2.8500000000000001E-2</v>
      </c>
      <c r="C19" s="128">
        <v>1.34E-2</v>
      </c>
      <c r="D19" s="19"/>
      <c r="E19" s="19"/>
      <c r="F19" s="19"/>
      <c r="G19" s="19"/>
      <c r="H19" s="19"/>
      <c r="I19" s="19"/>
      <c r="J19" s="19"/>
      <c r="K19" s="19"/>
      <c r="L19" s="19"/>
      <c r="M19" s="19"/>
      <c r="N19" s="19"/>
      <c r="O19" s="19"/>
    </row>
    <row r="20" spans="1:15">
      <c r="A20" s="129">
        <v>2041</v>
      </c>
      <c r="B20" s="128">
        <f>B19-($B$19-$B$24)/5</f>
        <v>2.802E-2</v>
      </c>
      <c r="C20" s="128">
        <f>C19-($C$19-$C$24)/5</f>
        <v>1.336E-2</v>
      </c>
      <c r="D20" s="19"/>
      <c r="E20" s="19"/>
      <c r="F20" s="19"/>
      <c r="G20" s="19"/>
      <c r="H20" s="19"/>
      <c r="I20" s="19"/>
      <c r="J20" s="19"/>
      <c r="K20" s="19"/>
      <c r="L20" s="19"/>
      <c r="M20" s="19"/>
      <c r="N20" s="19"/>
      <c r="O20" s="19"/>
    </row>
    <row r="21" spans="1:15">
      <c r="A21" s="129">
        <v>2042</v>
      </c>
      <c r="B21" s="128">
        <f>B20-($B$19-$B$24)/5</f>
        <v>2.7539999999999999E-2</v>
      </c>
      <c r="C21" s="128">
        <f>C20-($C$19-$C$24)/5</f>
        <v>1.332E-2</v>
      </c>
      <c r="D21" s="19"/>
      <c r="E21" s="19"/>
      <c r="F21" s="19"/>
      <c r="G21" s="19"/>
      <c r="H21" s="19"/>
      <c r="I21" s="19"/>
      <c r="J21" s="19"/>
      <c r="K21" s="19"/>
      <c r="L21" s="19"/>
      <c r="M21" s="19"/>
      <c r="N21" s="19"/>
      <c r="O21" s="19"/>
    </row>
    <row r="22" spans="1:15">
      <c r="A22" s="129">
        <v>2043</v>
      </c>
      <c r="B22" s="128">
        <f>B21-($B$19-$B$24)/5</f>
        <v>2.7059999999999997E-2</v>
      </c>
      <c r="C22" s="128">
        <f>C21-($C$19-$C$24)/5</f>
        <v>1.328E-2</v>
      </c>
      <c r="D22" s="19"/>
      <c r="E22" s="19"/>
      <c r="F22" s="19"/>
      <c r="G22" s="19"/>
      <c r="H22" s="19"/>
      <c r="I22" s="19"/>
      <c r="J22" s="19"/>
      <c r="K22" s="19"/>
      <c r="L22" s="19"/>
      <c r="M22" s="19"/>
      <c r="N22" s="19"/>
      <c r="O22" s="19"/>
    </row>
    <row r="23" spans="1:15">
      <c r="A23" s="129">
        <v>2044</v>
      </c>
      <c r="B23" s="128">
        <f>B22-($B$19-$B$24)/5</f>
        <v>2.6579999999999996E-2</v>
      </c>
      <c r="C23" s="128">
        <f>C22-($C$19-$C$24)/5</f>
        <v>1.324E-2</v>
      </c>
      <c r="D23" s="19"/>
      <c r="E23" s="19"/>
      <c r="F23" s="19"/>
      <c r="G23" s="19"/>
      <c r="H23" s="19"/>
      <c r="I23" s="19"/>
      <c r="J23" s="19"/>
      <c r="K23" s="19"/>
      <c r="L23" s="19"/>
      <c r="M23" s="19"/>
      <c r="N23" s="19"/>
      <c r="O23" s="19"/>
    </row>
    <row r="24" spans="1:15">
      <c r="A24" s="129">
        <v>2045</v>
      </c>
      <c r="B24" s="128">
        <v>2.6100000000000002E-2</v>
      </c>
      <c r="C24" s="128">
        <v>1.32E-2</v>
      </c>
      <c r="D24" s="19"/>
      <c r="E24" s="19"/>
      <c r="F24" s="19"/>
      <c r="G24" s="19"/>
      <c r="H24" s="19"/>
      <c r="I24" s="19"/>
      <c r="J24" s="19"/>
      <c r="K24" s="19"/>
      <c r="L24" s="19"/>
      <c r="M24" s="19"/>
      <c r="N24" s="19"/>
      <c r="O24" s="19"/>
    </row>
    <row r="25" spans="1:15">
      <c r="A25" s="129">
        <v>2046</v>
      </c>
      <c r="B25" s="128">
        <f>B24-($B$24-$B$29)/5</f>
        <v>2.5840000000000002E-2</v>
      </c>
      <c r="C25" s="128">
        <f>C24-($C$24-$C$29)/5</f>
        <v>1.32E-2</v>
      </c>
      <c r="D25" s="19"/>
      <c r="E25" s="19"/>
      <c r="F25" s="19"/>
      <c r="G25" s="19"/>
      <c r="H25" s="19"/>
      <c r="I25" s="19"/>
      <c r="J25" s="19"/>
      <c r="K25" s="19"/>
      <c r="L25" s="19"/>
      <c r="M25" s="19"/>
      <c r="N25" s="19"/>
      <c r="O25" s="19"/>
    </row>
    <row r="26" spans="1:15">
      <c r="A26" s="129">
        <v>2047</v>
      </c>
      <c r="B26" s="128">
        <f>B25-($B$24-$B$29)/5</f>
        <v>2.5580000000000002E-2</v>
      </c>
      <c r="C26" s="128">
        <f>C25-($C$24-$C$29)/5</f>
        <v>1.32E-2</v>
      </c>
      <c r="D26" s="19"/>
      <c r="E26" s="19"/>
      <c r="F26" s="19"/>
      <c r="G26" s="19"/>
      <c r="H26" s="19"/>
      <c r="I26" s="19"/>
      <c r="J26" s="19"/>
      <c r="K26" s="19"/>
      <c r="L26" s="19"/>
      <c r="M26" s="19"/>
      <c r="N26" s="19"/>
      <c r="O26" s="19"/>
    </row>
    <row r="27" spans="1:15">
      <c r="A27" s="129">
        <v>2048</v>
      </c>
      <c r="B27" s="128">
        <f>B26-($B$24-$B$29)/5</f>
        <v>2.5320000000000002E-2</v>
      </c>
      <c r="C27" s="128">
        <f>C26-($C$24-$C$29)/5</f>
        <v>1.32E-2</v>
      </c>
      <c r="D27" s="19"/>
      <c r="E27" s="19"/>
      <c r="F27" s="19"/>
      <c r="G27" s="19"/>
      <c r="H27" s="19"/>
      <c r="I27" s="19"/>
      <c r="J27" s="19"/>
      <c r="K27" s="19"/>
      <c r="L27" s="19"/>
      <c r="M27" s="19"/>
      <c r="N27" s="19"/>
      <c r="O27" s="19"/>
    </row>
    <row r="28" spans="1:15">
      <c r="A28" s="129">
        <v>2049</v>
      </c>
      <c r="B28" s="128">
        <f>B27-($B$24-$B$29)/5</f>
        <v>2.5060000000000002E-2</v>
      </c>
      <c r="C28" s="128">
        <f>C27-($C$24-$C$29)/5</f>
        <v>1.32E-2</v>
      </c>
      <c r="D28" s="19"/>
      <c r="E28" s="19"/>
      <c r="F28" s="19"/>
      <c r="G28" s="19"/>
      <c r="H28" s="19"/>
      <c r="I28" s="19"/>
      <c r="J28" s="19"/>
      <c r="K28" s="19"/>
      <c r="L28" s="19"/>
      <c r="M28" s="19"/>
      <c r="N28" s="19"/>
      <c r="O28" s="19"/>
    </row>
    <row r="29" spans="1:15">
      <c r="A29" s="129">
        <v>2050</v>
      </c>
      <c r="B29" s="155">
        <v>2.4799999999999999E-2</v>
      </c>
      <c r="C29" s="155">
        <v>1.32E-2</v>
      </c>
      <c r="D29" s="19"/>
      <c r="E29" s="19"/>
      <c r="F29" s="19"/>
      <c r="G29" s="19"/>
      <c r="H29" s="19"/>
      <c r="I29" s="19"/>
      <c r="J29" s="19"/>
      <c r="K29" s="19"/>
      <c r="L29" s="19"/>
      <c r="M29" s="19"/>
      <c r="N29" s="19"/>
      <c r="O29" s="19"/>
    </row>
    <row r="30" spans="1:15">
      <c r="A30" s="129">
        <v>2051</v>
      </c>
      <c r="B30" s="154">
        <v>2.4799999999999999E-2</v>
      </c>
      <c r="C30" s="154">
        <v>1.32E-2</v>
      </c>
      <c r="D30" s="19"/>
      <c r="E30" s="19"/>
      <c r="F30" s="19"/>
      <c r="G30" s="19"/>
      <c r="H30" s="19"/>
      <c r="I30" s="19"/>
      <c r="J30" s="19"/>
      <c r="K30" s="19"/>
      <c r="L30" s="19"/>
      <c r="M30" s="19"/>
      <c r="N30" s="19"/>
      <c r="O30" s="19"/>
    </row>
    <row r="31" spans="1:15">
      <c r="A31" s="129">
        <v>2052</v>
      </c>
      <c r="B31" s="154">
        <v>2.4799999999999999E-2</v>
      </c>
      <c r="C31" s="154">
        <v>1.32E-2</v>
      </c>
      <c r="D31" s="19"/>
      <c r="E31" s="19"/>
      <c r="F31" s="19"/>
      <c r="G31" s="19"/>
      <c r="H31" s="19"/>
      <c r="I31" s="19"/>
      <c r="J31" s="19"/>
      <c r="K31" s="19"/>
      <c r="L31" s="19"/>
      <c r="M31" s="19"/>
      <c r="N31" s="19"/>
      <c r="O31" s="19"/>
    </row>
    <row r="32" spans="1:15">
      <c r="A32" s="129">
        <v>2053</v>
      </c>
      <c r="B32" s="154">
        <v>2.4799999999999999E-2</v>
      </c>
      <c r="C32" s="154">
        <v>1.32E-2</v>
      </c>
      <c r="D32" s="19"/>
      <c r="E32" s="19"/>
      <c r="F32" s="19"/>
      <c r="G32" s="19"/>
      <c r="H32" s="19"/>
      <c r="I32" s="19"/>
      <c r="J32" s="19"/>
      <c r="K32" s="19"/>
      <c r="L32" s="19"/>
      <c r="M32" s="19"/>
      <c r="N32" s="19"/>
      <c r="O32" s="19"/>
    </row>
    <row r="33" spans="1:15">
      <c r="A33" s="129">
        <v>2054</v>
      </c>
      <c r="B33" s="154">
        <v>2.4799999999999999E-2</v>
      </c>
      <c r="C33" s="154">
        <v>1.32E-2</v>
      </c>
      <c r="D33" s="19"/>
      <c r="E33" s="19"/>
      <c r="F33" s="19"/>
      <c r="G33" s="19"/>
      <c r="H33" s="19"/>
      <c r="I33" s="19"/>
      <c r="J33" s="19"/>
      <c r="K33" s="19"/>
      <c r="L33" s="19"/>
      <c r="M33" s="19"/>
      <c r="N33" s="19"/>
      <c r="O33" s="19"/>
    </row>
    <row r="34" spans="1:15">
      <c r="A34" s="129">
        <v>2055</v>
      </c>
      <c r="B34" s="154">
        <v>2.4799999999999999E-2</v>
      </c>
      <c r="C34" s="154">
        <v>1.32E-2</v>
      </c>
      <c r="D34" s="19"/>
      <c r="E34" s="19"/>
      <c r="F34" s="19"/>
      <c r="G34" s="19"/>
      <c r="H34" s="19"/>
      <c r="I34" s="19"/>
      <c r="J34" s="19"/>
      <c r="K34" s="19"/>
      <c r="L34" s="19"/>
      <c r="M34" s="19"/>
      <c r="N34" s="19"/>
      <c r="O34" s="19"/>
    </row>
    <row r="35" spans="1:15">
      <c r="A35" s="129">
        <v>2056</v>
      </c>
      <c r="B35" s="154">
        <v>2.4799999999999999E-2</v>
      </c>
      <c r="C35" s="154">
        <v>1.32E-2</v>
      </c>
      <c r="D35" s="19"/>
      <c r="E35" s="19"/>
      <c r="F35" s="19"/>
      <c r="G35" s="19"/>
      <c r="H35" s="19"/>
      <c r="I35" s="19"/>
      <c r="J35" s="19"/>
      <c r="K35" s="19"/>
      <c r="L35" s="19"/>
      <c r="M35" s="19"/>
      <c r="N35" s="19"/>
      <c r="O35" s="19"/>
    </row>
    <row r="36" spans="1:15">
      <c r="A36" s="129">
        <v>2057</v>
      </c>
      <c r="B36" s="154">
        <v>2.4799999999999999E-2</v>
      </c>
      <c r="C36" s="154">
        <v>1.32E-2</v>
      </c>
      <c r="D36" s="19"/>
      <c r="E36" s="19"/>
      <c r="F36" s="19"/>
      <c r="G36" s="19"/>
      <c r="H36" s="19"/>
      <c r="I36" s="19"/>
      <c r="J36" s="19"/>
      <c r="K36" s="19"/>
      <c r="L36" s="19"/>
      <c r="M36" s="19"/>
      <c r="N36" s="19"/>
      <c r="O36" s="19"/>
    </row>
    <row r="37" spans="1:15">
      <c r="A37" s="129">
        <v>2058</v>
      </c>
      <c r="B37" s="154">
        <v>2.4799999999999999E-2</v>
      </c>
      <c r="C37" s="154">
        <v>1.32E-2</v>
      </c>
      <c r="D37" s="19"/>
      <c r="E37" s="19"/>
      <c r="F37" s="19"/>
      <c r="G37" s="19"/>
      <c r="H37" s="19"/>
      <c r="I37" s="19"/>
      <c r="J37" s="19"/>
      <c r="K37" s="19"/>
      <c r="L37" s="19"/>
      <c r="M37" s="19"/>
      <c r="N37" s="19"/>
      <c r="O37" s="19"/>
    </row>
    <row r="38" spans="1:15">
      <c r="A38" s="129">
        <v>2059</v>
      </c>
      <c r="B38" s="154">
        <v>2.4799999999999999E-2</v>
      </c>
      <c r="C38" s="154">
        <v>1.32E-2</v>
      </c>
      <c r="D38" s="19"/>
      <c r="E38" s="19"/>
      <c r="F38" s="19"/>
      <c r="G38" s="19"/>
      <c r="H38" s="19"/>
      <c r="I38" s="19"/>
      <c r="J38" s="19"/>
      <c r="K38" s="19"/>
      <c r="L38" s="19"/>
      <c r="M38" s="19"/>
      <c r="N38" s="19"/>
      <c r="O38" s="19"/>
    </row>
    <row r="39" spans="1:15">
      <c r="A39" s="129">
        <v>2060</v>
      </c>
      <c r="B39" s="154">
        <v>2.4799999999999999E-2</v>
      </c>
      <c r="C39" s="154">
        <v>1.32E-2</v>
      </c>
      <c r="D39" s="19"/>
      <c r="E39" s="19"/>
      <c r="F39" s="19"/>
      <c r="G39" s="19"/>
      <c r="H39" s="19"/>
      <c r="I39" s="19"/>
      <c r="J39" s="19"/>
      <c r="K39" s="19"/>
      <c r="L39" s="19"/>
      <c r="M39" s="19"/>
      <c r="N39" s="19"/>
      <c r="O39" s="19"/>
    </row>
    <row r="40" spans="1:15">
      <c r="A40" s="129">
        <v>2061</v>
      </c>
      <c r="B40" s="154">
        <v>2.4799999999999999E-2</v>
      </c>
      <c r="C40" s="154">
        <v>1.32E-2</v>
      </c>
      <c r="D40" s="19"/>
      <c r="E40" s="19"/>
      <c r="F40" s="19"/>
      <c r="G40" s="19"/>
      <c r="H40" s="19"/>
      <c r="I40" s="19"/>
      <c r="J40" s="19"/>
      <c r="K40" s="19"/>
      <c r="L40" s="19"/>
      <c r="M40" s="19"/>
      <c r="N40" s="19"/>
      <c r="O40" s="19"/>
    </row>
    <row r="41" spans="1:15">
      <c r="A41" s="129">
        <v>2062</v>
      </c>
      <c r="B41" s="154">
        <v>2.4799999999999999E-2</v>
      </c>
      <c r="C41" s="154">
        <v>1.32E-2</v>
      </c>
      <c r="D41" s="19"/>
      <c r="E41" s="19"/>
      <c r="F41" s="19"/>
      <c r="G41" s="19"/>
      <c r="H41" s="19"/>
      <c r="I41" s="19"/>
      <c r="J41" s="19"/>
      <c r="K41" s="19"/>
      <c r="L41" s="19"/>
      <c r="M41" s="19"/>
      <c r="N41" s="19"/>
      <c r="O41" s="19"/>
    </row>
    <row r="42" spans="1:15">
      <c r="A42" s="129">
        <v>2063</v>
      </c>
      <c r="B42" s="154">
        <v>2.4799999999999999E-2</v>
      </c>
      <c r="C42" s="154">
        <v>1.32E-2</v>
      </c>
      <c r="D42" s="19"/>
      <c r="E42" s="19"/>
      <c r="F42" s="19"/>
      <c r="G42" s="19"/>
      <c r="H42" s="19"/>
      <c r="I42" s="19"/>
      <c r="J42" s="19"/>
      <c r="K42" s="19"/>
      <c r="L42" s="19"/>
      <c r="M42" s="19"/>
      <c r="N42" s="19"/>
      <c r="O42" s="19"/>
    </row>
    <row r="43" spans="1:15">
      <c r="A43" s="129">
        <v>2064</v>
      </c>
      <c r="B43" s="154">
        <v>2.4799999999999999E-2</v>
      </c>
      <c r="C43" s="154">
        <v>1.32E-2</v>
      </c>
      <c r="D43" s="19"/>
      <c r="E43" s="19"/>
      <c r="F43" s="19"/>
      <c r="G43" s="19"/>
      <c r="H43" s="19"/>
      <c r="I43" s="19"/>
      <c r="J43" s="19"/>
      <c r="K43" s="19"/>
      <c r="L43" s="19"/>
      <c r="M43" s="19"/>
      <c r="N43" s="19"/>
      <c r="O43" s="19"/>
    </row>
    <row r="44" spans="1:15">
      <c r="A44" s="129">
        <v>2065</v>
      </c>
      <c r="B44" s="154">
        <v>2.4799999999999999E-2</v>
      </c>
      <c r="C44" s="154">
        <v>1.32E-2</v>
      </c>
      <c r="D44" s="19"/>
      <c r="E44" s="19"/>
      <c r="F44" s="19"/>
      <c r="G44" s="19"/>
      <c r="H44" s="19"/>
      <c r="I44" s="19"/>
      <c r="J44" s="19"/>
      <c r="K44" s="19"/>
      <c r="L44" s="19"/>
      <c r="M44" s="19"/>
      <c r="N44" s="19"/>
      <c r="O44" s="19"/>
    </row>
    <row r="45" spans="1:15">
      <c r="A45" s="129">
        <v>2066</v>
      </c>
      <c r="B45" s="154">
        <v>2.4799999999999999E-2</v>
      </c>
      <c r="C45" s="154">
        <v>1.32E-2</v>
      </c>
      <c r="D45" s="19"/>
      <c r="E45" s="19"/>
      <c r="F45" s="19"/>
      <c r="G45" s="19"/>
      <c r="H45" s="19"/>
      <c r="I45" s="19"/>
      <c r="J45" s="19"/>
      <c r="K45" s="19"/>
      <c r="L45" s="19"/>
      <c r="M45" s="19"/>
      <c r="N45" s="19"/>
      <c r="O45" s="19"/>
    </row>
    <row r="46" spans="1:15">
      <c r="A46" s="129">
        <v>2067</v>
      </c>
      <c r="B46" s="154">
        <v>2.4799999999999999E-2</v>
      </c>
      <c r="C46" s="154">
        <v>1.32E-2</v>
      </c>
      <c r="D46" s="19"/>
      <c r="E46" s="19"/>
      <c r="F46" s="19"/>
      <c r="G46" s="19"/>
      <c r="H46" s="19"/>
      <c r="I46" s="19"/>
      <c r="J46" s="19"/>
      <c r="K46" s="19"/>
      <c r="L46" s="19"/>
      <c r="M46" s="19"/>
      <c r="N46" s="19"/>
      <c r="O46" s="19"/>
    </row>
    <row r="47" spans="1:15">
      <c r="A47" s="129">
        <v>2068</v>
      </c>
      <c r="B47" s="154">
        <v>2.4799999999999999E-2</v>
      </c>
      <c r="C47" s="154">
        <v>1.32E-2</v>
      </c>
      <c r="D47" s="19"/>
      <c r="E47" s="19"/>
      <c r="F47" s="19"/>
      <c r="G47" s="19"/>
      <c r="H47" s="19"/>
      <c r="I47" s="19"/>
      <c r="J47" s="19"/>
      <c r="K47" s="19"/>
      <c r="L47" s="19"/>
      <c r="M47" s="19"/>
      <c r="N47" s="19"/>
      <c r="O47" s="19"/>
    </row>
    <row r="48" spans="1:15">
      <c r="A48" s="129">
        <v>2069</v>
      </c>
      <c r="B48" s="154">
        <v>2.4799999999999999E-2</v>
      </c>
      <c r="C48" s="154">
        <v>1.32E-2</v>
      </c>
      <c r="D48" s="19"/>
      <c r="E48" s="19"/>
      <c r="F48" s="19"/>
      <c r="G48" s="19"/>
      <c r="H48" s="19"/>
      <c r="I48" s="19"/>
      <c r="J48" s="19"/>
      <c r="K48" s="19"/>
      <c r="L48" s="19"/>
      <c r="M48" s="19"/>
      <c r="N48" s="19"/>
      <c r="O48" s="19"/>
    </row>
    <row r="49" spans="1:15">
      <c r="A49" s="129">
        <v>2070</v>
      </c>
      <c r="B49" s="154">
        <v>2.4799999999999999E-2</v>
      </c>
      <c r="C49" s="154">
        <v>1.32E-2</v>
      </c>
      <c r="D49" s="19"/>
      <c r="E49" s="19"/>
      <c r="F49" s="19"/>
      <c r="G49" s="19"/>
      <c r="H49" s="19"/>
      <c r="I49" s="19"/>
      <c r="J49" s="19"/>
      <c r="K49" s="19"/>
      <c r="L49" s="19"/>
      <c r="M49" s="19"/>
      <c r="N49" s="19"/>
      <c r="O49" s="19"/>
    </row>
    <row r="50" spans="1:15">
      <c r="A50" s="129">
        <v>2071</v>
      </c>
      <c r="B50" s="154">
        <v>2.4799999999999999E-2</v>
      </c>
      <c r="C50" s="154">
        <v>1.32E-2</v>
      </c>
      <c r="D50" s="19"/>
      <c r="E50" s="19"/>
      <c r="F50" s="19"/>
      <c r="G50" s="19"/>
      <c r="H50" s="19"/>
      <c r="I50" s="19"/>
      <c r="J50" s="19"/>
      <c r="K50" s="19"/>
      <c r="L50" s="19"/>
      <c r="M50" s="19"/>
      <c r="N50" s="19"/>
      <c r="O50" s="19"/>
    </row>
    <row r="51" spans="1:15">
      <c r="A51" s="129">
        <v>2072</v>
      </c>
      <c r="B51" s="154">
        <v>2.4799999999999999E-2</v>
      </c>
      <c r="C51" s="154">
        <v>1.32E-2</v>
      </c>
      <c r="D51" s="19"/>
      <c r="E51" s="19"/>
      <c r="F51" s="19"/>
      <c r="G51" s="19"/>
      <c r="H51" s="19"/>
      <c r="I51" s="19"/>
      <c r="J51" s="19"/>
      <c r="K51" s="19"/>
      <c r="L51" s="19"/>
      <c r="M51" s="19"/>
      <c r="N51" s="19"/>
      <c r="O51" s="19"/>
    </row>
    <row r="52" spans="1:15">
      <c r="A52" s="129">
        <v>2073</v>
      </c>
      <c r="B52" s="154">
        <v>2.4799999999999999E-2</v>
      </c>
      <c r="C52" s="154">
        <v>1.32E-2</v>
      </c>
      <c r="D52" s="19"/>
      <c r="E52" s="19"/>
      <c r="F52" s="19"/>
      <c r="G52" s="19"/>
      <c r="H52" s="19"/>
      <c r="I52" s="19"/>
      <c r="J52" s="19"/>
      <c r="K52" s="19"/>
      <c r="L52" s="19"/>
      <c r="M52" s="19"/>
      <c r="N52" s="19"/>
      <c r="O52" s="19"/>
    </row>
    <row r="53" spans="1:15">
      <c r="A53" s="129">
        <v>2074</v>
      </c>
      <c r="B53" s="154">
        <v>2.4799999999999999E-2</v>
      </c>
      <c r="C53" s="154">
        <v>1.32E-2</v>
      </c>
      <c r="D53" s="19"/>
      <c r="E53" s="19"/>
      <c r="F53" s="19"/>
      <c r="G53" s="19"/>
      <c r="H53" s="19"/>
      <c r="I53" s="19"/>
      <c r="J53" s="19"/>
      <c r="K53" s="19"/>
      <c r="L53" s="19"/>
      <c r="M53" s="19"/>
      <c r="N53" s="19"/>
      <c r="O53" s="19"/>
    </row>
    <row r="54" spans="1:15">
      <c r="A54" s="129">
        <v>2075</v>
      </c>
      <c r="B54" s="154">
        <v>2.4799999999999999E-2</v>
      </c>
      <c r="C54" s="154">
        <v>1.32E-2</v>
      </c>
      <c r="D54" s="19"/>
      <c r="E54" s="19"/>
      <c r="F54" s="19"/>
      <c r="G54" s="19"/>
      <c r="H54" s="19"/>
      <c r="I54" s="19"/>
      <c r="J54" s="19"/>
      <c r="K54" s="19"/>
      <c r="L54" s="19"/>
      <c r="M54" s="19"/>
      <c r="N54" s="19"/>
      <c r="O54" s="19"/>
    </row>
    <row r="55" spans="1:15">
      <c r="A55" s="129">
        <v>2076</v>
      </c>
      <c r="B55" s="154">
        <v>2.4799999999999999E-2</v>
      </c>
      <c r="C55" s="154">
        <v>1.32E-2</v>
      </c>
      <c r="D55" s="19"/>
      <c r="E55" s="19"/>
      <c r="F55" s="19"/>
      <c r="G55" s="19"/>
      <c r="H55" s="19"/>
      <c r="I55" s="19"/>
      <c r="J55" s="19"/>
      <c r="K55" s="19"/>
      <c r="L55" s="19"/>
      <c r="M55" s="19"/>
      <c r="N55" s="19"/>
      <c r="O55" s="19"/>
    </row>
    <row r="56" spans="1:15">
      <c r="A56" s="129">
        <v>2077</v>
      </c>
      <c r="B56" s="154">
        <v>2.4799999999999999E-2</v>
      </c>
      <c r="C56" s="154">
        <v>1.32E-2</v>
      </c>
      <c r="D56" s="19"/>
      <c r="E56" s="19"/>
      <c r="F56" s="19"/>
      <c r="G56" s="19"/>
      <c r="H56" s="19"/>
      <c r="I56" s="19"/>
      <c r="J56" s="19"/>
      <c r="K56" s="19"/>
      <c r="L56" s="19"/>
      <c r="M56" s="19"/>
      <c r="N56" s="19"/>
      <c r="O56" s="19"/>
    </row>
    <row r="57" spans="1:15">
      <c r="A57" s="129">
        <v>2078</v>
      </c>
      <c r="B57" s="154">
        <v>2.4799999999999999E-2</v>
      </c>
      <c r="C57" s="154">
        <v>1.32E-2</v>
      </c>
      <c r="D57" s="19"/>
      <c r="E57" s="19"/>
      <c r="F57" s="19"/>
      <c r="G57" s="19"/>
      <c r="H57" s="19"/>
      <c r="I57" s="19"/>
      <c r="J57" s="19"/>
      <c r="K57" s="19"/>
      <c r="L57" s="19"/>
      <c r="M57" s="19"/>
      <c r="N57" s="19"/>
      <c r="O57" s="19"/>
    </row>
    <row r="58" spans="1:15">
      <c r="A58" s="129">
        <v>2079</v>
      </c>
      <c r="B58" s="154">
        <v>2.4799999999999999E-2</v>
      </c>
      <c r="C58" s="154">
        <v>1.32E-2</v>
      </c>
      <c r="D58" s="19"/>
      <c r="E58" s="19"/>
      <c r="F58" s="19"/>
      <c r="G58" s="19"/>
      <c r="H58" s="19"/>
      <c r="I58" s="19"/>
      <c r="J58" s="19"/>
      <c r="K58" s="19"/>
      <c r="L58" s="19"/>
      <c r="M58" s="19"/>
      <c r="N58" s="19"/>
      <c r="O58" s="19"/>
    </row>
    <row r="59" spans="1:15">
      <c r="A59" s="129">
        <v>2080</v>
      </c>
      <c r="B59" s="154">
        <v>2.4799999999999999E-2</v>
      </c>
      <c r="C59" s="154">
        <v>1.32E-2</v>
      </c>
      <c r="D59" s="19"/>
      <c r="E59" s="19"/>
      <c r="F59" s="19"/>
      <c r="G59" s="19"/>
      <c r="H59" s="19"/>
      <c r="I59" s="19"/>
      <c r="J59" s="19"/>
      <c r="K59" s="19"/>
      <c r="L59" s="19"/>
      <c r="M59" s="19"/>
      <c r="N59" s="19"/>
      <c r="O59" s="19"/>
    </row>
    <row r="60" spans="1:15">
      <c r="A60" s="129">
        <v>2081</v>
      </c>
      <c r="B60" s="154">
        <v>2.4799999999999999E-2</v>
      </c>
      <c r="C60" s="154">
        <v>1.32E-2</v>
      </c>
      <c r="D60" s="19"/>
      <c r="E60" s="19"/>
      <c r="F60" s="19"/>
      <c r="G60" s="19"/>
      <c r="H60" s="19"/>
      <c r="I60" s="19"/>
      <c r="J60" s="19"/>
      <c r="K60" s="19"/>
      <c r="L60" s="19"/>
      <c r="M60" s="19"/>
      <c r="N60" s="19"/>
      <c r="O60" s="19"/>
    </row>
    <row r="61" spans="1:15">
      <c r="A61" s="129">
        <v>2082</v>
      </c>
      <c r="B61" s="154">
        <v>2.4799999999999999E-2</v>
      </c>
      <c r="C61" s="154">
        <v>1.32E-2</v>
      </c>
      <c r="D61" s="19"/>
      <c r="E61" s="19"/>
      <c r="F61" s="19"/>
      <c r="G61" s="19"/>
      <c r="H61" s="19"/>
      <c r="I61" s="19"/>
      <c r="J61" s="19"/>
      <c r="K61" s="19"/>
      <c r="L61" s="19"/>
      <c r="M61" s="19"/>
      <c r="N61" s="19"/>
      <c r="O61" s="19"/>
    </row>
    <row r="62" spans="1:15">
      <c r="A62" s="129">
        <v>2083</v>
      </c>
      <c r="B62" s="154">
        <v>2.4799999999999999E-2</v>
      </c>
      <c r="C62" s="154">
        <v>1.32E-2</v>
      </c>
      <c r="D62" s="19"/>
      <c r="E62" s="19"/>
      <c r="F62" s="19"/>
      <c r="G62" s="19"/>
      <c r="H62" s="19"/>
      <c r="I62" s="19"/>
      <c r="J62" s="19"/>
      <c r="K62" s="19"/>
      <c r="L62" s="19"/>
      <c r="M62" s="19"/>
      <c r="N62" s="19"/>
      <c r="O62" s="19"/>
    </row>
    <row r="63" spans="1:15">
      <c r="A63" s="129">
        <v>2084</v>
      </c>
      <c r="B63" s="154">
        <v>2.4799999999999999E-2</v>
      </c>
      <c r="C63" s="154">
        <v>1.32E-2</v>
      </c>
      <c r="D63" s="19"/>
      <c r="E63" s="19"/>
      <c r="F63" s="19"/>
      <c r="G63" s="19"/>
      <c r="H63" s="19"/>
      <c r="I63" s="19"/>
      <c r="J63" s="19"/>
      <c r="K63" s="19"/>
      <c r="L63" s="19"/>
      <c r="M63" s="19"/>
      <c r="N63" s="19"/>
      <c r="O63" s="19"/>
    </row>
    <row r="64" spans="1:15">
      <c r="A64" s="129">
        <v>2085</v>
      </c>
      <c r="B64" s="154">
        <v>2.4799999999999999E-2</v>
      </c>
      <c r="C64" s="154">
        <v>1.32E-2</v>
      </c>
      <c r="D64" s="19"/>
      <c r="E64" s="19"/>
      <c r="F64" s="19"/>
      <c r="G64" s="19"/>
      <c r="H64" s="19"/>
      <c r="I64" s="19"/>
      <c r="J64" s="19"/>
      <c r="K64" s="19"/>
      <c r="L64" s="19"/>
      <c r="M64" s="19"/>
      <c r="N64" s="19"/>
      <c r="O64" s="19"/>
    </row>
    <row r="65" spans="1:15">
      <c r="A65" s="129">
        <v>2086</v>
      </c>
      <c r="B65" s="154">
        <v>2.4799999999999999E-2</v>
      </c>
      <c r="C65" s="154">
        <v>1.32E-2</v>
      </c>
      <c r="D65" s="19"/>
      <c r="E65" s="19"/>
      <c r="F65" s="19"/>
      <c r="G65" s="19"/>
      <c r="H65" s="19"/>
      <c r="I65" s="19"/>
      <c r="J65" s="19"/>
      <c r="K65" s="19"/>
      <c r="L65" s="19"/>
      <c r="M65" s="19"/>
      <c r="N65" s="19"/>
      <c r="O65" s="19"/>
    </row>
    <row r="66" spans="1:15">
      <c r="A66" s="129">
        <v>2087</v>
      </c>
      <c r="B66" s="154">
        <v>2.4799999999999999E-2</v>
      </c>
      <c r="C66" s="154">
        <v>1.32E-2</v>
      </c>
      <c r="D66" s="19"/>
      <c r="E66" s="19"/>
      <c r="F66" s="19"/>
      <c r="G66" s="19"/>
      <c r="H66" s="19"/>
      <c r="I66" s="19"/>
      <c r="J66" s="19"/>
      <c r="K66" s="19"/>
      <c r="L66" s="19"/>
      <c r="M66" s="19"/>
      <c r="N66" s="19"/>
      <c r="O66" s="19"/>
    </row>
    <row r="67" spans="1:15">
      <c r="A67" s="129">
        <v>2088</v>
      </c>
      <c r="B67" s="154">
        <v>2.4799999999999999E-2</v>
      </c>
      <c r="C67" s="154">
        <v>1.32E-2</v>
      </c>
      <c r="D67" s="19"/>
      <c r="E67" s="19"/>
      <c r="F67" s="19"/>
      <c r="G67" s="19"/>
      <c r="H67" s="19"/>
      <c r="I67" s="19"/>
      <c r="J67" s="19"/>
      <c r="K67" s="19"/>
      <c r="L67" s="19"/>
      <c r="M67" s="19"/>
      <c r="N67" s="19"/>
      <c r="O67" s="19"/>
    </row>
    <row r="68" spans="1:15">
      <c r="A68" s="129">
        <v>2089</v>
      </c>
      <c r="B68" s="154">
        <v>2.4799999999999999E-2</v>
      </c>
      <c r="C68" s="154">
        <v>1.32E-2</v>
      </c>
      <c r="D68" s="19"/>
      <c r="E68" s="19"/>
      <c r="F68" s="19"/>
      <c r="G68" s="19"/>
      <c r="H68" s="19"/>
      <c r="I68" s="19"/>
      <c r="J68" s="19"/>
      <c r="K68" s="19"/>
      <c r="L68" s="19"/>
      <c r="M68" s="19"/>
      <c r="N68" s="19"/>
      <c r="O68" s="19"/>
    </row>
    <row r="69" spans="1:15">
      <c r="A69" s="129">
        <v>2090</v>
      </c>
      <c r="B69" s="154">
        <v>2.4799999999999999E-2</v>
      </c>
      <c r="C69" s="154">
        <v>1.32E-2</v>
      </c>
      <c r="D69" s="19"/>
      <c r="E69" s="19"/>
      <c r="F69" s="19"/>
      <c r="G69" s="19"/>
      <c r="H69" s="19"/>
      <c r="I69" s="19"/>
      <c r="J69" s="19"/>
      <c r="K69" s="19"/>
      <c r="L69" s="19"/>
      <c r="M69" s="19"/>
      <c r="N69" s="19"/>
      <c r="O69" s="19"/>
    </row>
    <row r="70" spans="1:15">
      <c r="A70" s="129">
        <v>2091</v>
      </c>
      <c r="B70" s="154">
        <v>2.4799999999999999E-2</v>
      </c>
      <c r="C70" s="154">
        <v>1.32E-2</v>
      </c>
      <c r="D70" s="19"/>
      <c r="E70" s="19"/>
      <c r="F70" s="19"/>
      <c r="G70" s="19"/>
      <c r="H70" s="19"/>
      <c r="I70" s="19"/>
      <c r="J70" s="19"/>
      <c r="K70" s="19"/>
      <c r="L70" s="19"/>
      <c r="M70" s="19"/>
      <c r="N70" s="19"/>
      <c r="O70" s="19"/>
    </row>
    <row r="71" spans="1:15">
      <c r="A71" s="129">
        <v>2092</v>
      </c>
      <c r="B71" s="154">
        <v>2.4799999999999999E-2</v>
      </c>
      <c r="C71" s="154">
        <v>1.32E-2</v>
      </c>
      <c r="D71" s="19"/>
      <c r="E71" s="19"/>
      <c r="F71" s="19"/>
      <c r="G71" s="19"/>
      <c r="H71" s="19"/>
      <c r="I71" s="19"/>
      <c r="J71" s="19"/>
      <c r="K71" s="19"/>
      <c r="L71" s="19"/>
      <c r="M71" s="19"/>
      <c r="N71" s="19"/>
      <c r="O71" s="19"/>
    </row>
    <row r="72" spans="1:15">
      <c r="A72" s="129">
        <v>2093</v>
      </c>
      <c r="B72" s="154">
        <v>2.4799999999999999E-2</v>
      </c>
      <c r="C72" s="154">
        <v>1.32E-2</v>
      </c>
      <c r="D72" s="19"/>
      <c r="E72" s="19"/>
      <c r="F72" s="19"/>
      <c r="G72" s="19"/>
      <c r="H72" s="19"/>
      <c r="I72" s="19"/>
      <c r="J72" s="19"/>
      <c r="K72" s="19"/>
      <c r="L72" s="19"/>
      <c r="M72" s="19"/>
      <c r="N72" s="19"/>
      <c r="O72" s="19"/>
    </row>
    <row r="73" spans="1:15">
      <c r="A73" s="129">
        <v>2094</v>
      </c>
      <c r="B73" s="154">
        <v>2.4799999999999999E-2</v>
      </c>
      <c r="C73" s="154">
        <v>1.32E-2</v>
      </c>
      <c r="D73" s="19"/>
      <c r="E73" s="19"/>
      <c r="F73" s="19"/>
      <c r="G73" s="19"/>
      <c r="H73" s="19"/>
      <c r="I73" s="19"/>
      <c r="J73" s="19"/>
      <c r="K73" s="19"/>
      <c r="L73" s="19"/>
      <c r="M73" s="19"/>
      <c r="N73" s="19"/>
      <c r="O73" s="19"/>
    </row>
    <row r="74" spans="1:15">
      <c r="A74" s="129">
        <v>2095</v>
      </c>
      <c r="B74" s="154">
        <v>2.4799999999999999E-2</v>
      </c>
      <c r="C74" s="154">
        <v>1.32E-2</v>
      </c>
      <c r="D74" s="19"/>
      <c r="E74" s="19"/>
      <c r="F74" s="19"/>
      <c r="G74" s="19"/>
      <c r="H74" s="19"/>
      <c r="I74" s="19"/>
      <c r="J74" s="19"/>
      <c r="K74" s="19"/>
      <c r="L74" s="19"/>
      <c r="M74" s="19"/>
      <c r="N74" s="19"/>
      <c r="O74" s="19"/>
    </row>
    <row r="75" spans="1:15">
      <c r="A75" s="129">
        <v>2096</v>
      </c>
      <c r="B75" s="154">
        <v>2.4799999999999999E-2</v>
      </c>
      <c r="C75" s="154">
        <v>1.32E-2</v>
      </c>
      <c r="D75" s="19"/>
      <c r="E75" s="19"/>
      <c r="F75" s="19"/>
      <c r="G75" s="19"/>
      <c r="H75" s="19"/>
      <c r="I75" s="19"/>
      <c r="J75" s="19"/>
      <c r="K75" s="19"/>
      <c r="L75" s="19"/>
      <c r="M75" s="19"/>
      <c r="N75" s="19"/>
      <c r="O75" s="19"/>
    </row>
    <row r="76" spans="1:15">
      <c r="A76" s="129">
        <v>2097</v>
      </c>
      <c r="B76" s="154">
        <v>2.4799999999999999E-2</v>
      </c>
      <c r="C76" s="154">
        <v>1.32E-2</v>
      </c>
      <c r="D76" s="19"/>
      <c r="E76" s="19"/>
      <c r="F76" s="19"/>
      <c r="G76" s="19"/>
      <c r="H76" s="19"/>
      <c r="I76" s="19"/>
      <c r="J76" s="19"/>
      <c r="K76" s="19"/>
      <c r="L76" s="19"/>
      <c r="M76" s="19"/>
      <c r="N76" s="19"/>
      <c r="O76" s="19"/>
    </row>
    <row r="77" spans="1:15">
      <c r="A77" s="129">
        <v>2098</v>
      </c>
      <c r="B77" s="154">
        <v>2.4799999999999999E-2</v>
      </c>
      <c r="C77" s="154">
        <v>1.32E-2</v>
      </c>
      <c r="D77" s="19"/>
      <c r="E77" s="19"/>
      <c r="F77" s="19"/>
      <c r="G77" s="19"/>
      <c r="H77" s="19"/>
      <c r="I77" s="19"/>
      <c r="J77" s="19"/>
      <c r="K77" s="19"/>
      <c r="L77" s="19"/>
      <c r="M77" s="19"/>
      <c r="N77" s="19"/>
      <c r="O77" s="19"/>
    </row>
    <row r="78" spans="1:15">
      <c r="A78" s="129">
        <v>2099</v>
      </c>
      <c r="B78" s="154">
        <v>2.4799999999999999E-2</v>
      </c>
      <c r="C78" s="154">
        <v>1.32E-2</v>
      </c>
      <c r="D78" s="19"/>
      <c r="E78" s="19"/>
      <c r="F78" s="19"/>
      <c r="G78" s="19"/>
      <c r="H78" s="19"/>
      <c r="I78" s="19"/>
      <c r="J78" s="19"/>
      <c r="K78" s="19"/>
      <c r="L78" s="19"/>
      <c r="M78" s="19"/>
      <c r="N78" s="19"/>
      <c r="O78" s="19"/>
    </row>
    <row r="79" spans="1:15">
      <c r="A79" s="129">
        <v>2100</v>
      </c>
      <c r="B79" s="154">
        <v>2.4799999999999999E-2</v>
      </c>
      <c r="C79" s="154">
        <v>1.32E-2</v>
      </c>
      <c r="D79" s="19"/>
      <c r="E79" s="19"/>
      <c r="F79" s="19"/>
      <c r="G79" s="19"/>
      <c r="H79" s="19"/>
      <c r="I79" s="19"/>
      <c r="J79" s="19"/>
      <c r="K79" s="19"/>
      <c r="L79" s="19"/>
      <c r="M79" s="19"/>
      <c r="N79" s="19"/>
      <c r="O79" s="19"/>
    </row>
    <row r="80" spans="1:15">
      <c r="A80" s="129">
        <v>2101</v>
      </c>
      <c r="B80" s="154">
        <v>2.4799999999999999E-2</v>
      </c>
      <c r="C80" s="154">
        <v>1.32E-2</v>
      </c>
      <c r="D80" s="19"/>
      <c r="E80" s="19"/>
      <c r="F80" s="19"/>
      <c r="G80" s="19"/>
      <c r="H80" s="19"/>
      <c r="I80" s="19"/>
      <c r="J80" s="19"/>
      <c r="K80" s="19"/>
      <c r="L80" s="19"/>
      <c r="M80" s="19"/>
      <c r="N80" s="19"/>
      <c r="O80" s="19"/>
    </row>
    <row r="81" spans="1:15">
      <c r="A81" s="129">
        <v>2102</v>
      </c>
      <c r="B81" s="154">
        <v>2.4799999999999999E-2</v>
      </c>
      <c r="C81" s="154">
        <v>1.32E-2</v>
      </c>
      <c r="D81" s="19"/>
      <c r="E81" s="19"/>
      <c r="F81" s="19"/>
      <c r="G81" s="19"/>
      <c r="H81" s="19"/>
      <c r="I81" s="19"/>
      <c r="J81" s="19"/>
      <c r="K81" s="19"/>
      <c r="L81" s="19"/>
      <c r="M81" s="19"/>
      <c r="N81" s="19"/>
      <c r="O81" s="19"/>
    </row>
    <row r="82" spans="1:15">
      <c r="A82" s="129">
        <v>2103</v>
      </c>
      <c r="B82" s="154">
        <v>2.4799999999999999E-2</v>
      </c>
      <c r="C82" s="154">
        <v>1.32E-2</v>
      </c>
      <c r="D82" s="19"/>
      <c r="E82" s="19"/>
      <c r="F82" s="19"/>
      <c r="G82" s="19"/>
      <c r="H82" s="19"/>
      <c r="I82" s="19"/>
      <c r="J82" s="19"/>
      <c r="K82" s="19"/>
      <c r="L82" s="19"/>
      <c r="M82" s="19"/>
      <c r="N82" s="19"/>
      <c r="O82" s="19"/>
    </row>
    <row r="83" spans="1:15">
      <c r="A83" s="129">
        <v>2104</v>
      </c>
      <c r="B83" s="154">
        <v>2.4799999999999999E-2</v>
      </c>
      <c r="C83" s="154">
        <v>1.32E-2</v>
      </c>
      <c r="D83" s="19"/>
      <c r="E83" s="19"/>
      <c r="F83" s="19"/>
      <c r="G83" s="19"/>
      <c r="H83" s="19"/>
      <c r="I83" s="19"/>
      <c r="J83" s="19"/>
      <c r="K83" s="19"/>
      <c r="L83" s="19"/>
      <c r="M83" s="19"/>
      <c r="N83" s="19"/>
      <c r="O83" s="19"/>
    </row>
    <row r="84" spans="1:15">
      <c r="A84" s="129">
        <v>2105</v>
      </c>
      <c r="B84" s="154">
        <v>2.4799999999999999E-2</v>
      </c>
      <c r="C84" s="154">
        <v>1.32E-2</v>
      </c>
      <c r="D84" s="19"/>
      <c r="E84" s="19"/>
      <c r="F84" s="19"/>
      <c r="G84" s="19"/>
      <c r="H84" s="19"/>
      <c r="I84" s="19"/>
      <c r="J84" s="19"/>
      <c r="K84" s="19"/>
      <c r="L84" s="19"/>
      <c r="M84" s="19"/>
      <c r="N84" s="19"/>
      <c r="O84" s="19"/>
    </row>
    <row r="85" spans="1:15">
      <c r="A85" s="129">
        <v>2106</v>
      </c>
      <c r="B85" s="154">
        <v>2.4799999999999999E-2</v>
      </c>
      <c r="C85" s="154">
        <v>1.32E-2</v>
      </c>
      <c r="D85" s="19"/>
      <c r="E85" s="19"/>
      <c r="F85" s="19"/>
      <c r="G85" s="19"/>
      <c r="H85" s="19"/>
      <c r="I85" s="19"/>
      <c r="J85" s="19"/>
      <c r="K85" s="19"/>
      <c r="L85" s="19"/>
      <c r="M85" s="19"/>
      <c r="N85" s="19"/>
      <c r="O85" s="19"/>
    </row>
    <row r="86" spans="1:15">
      <c r="A86" s="129">
        <v>2107</v>
      </c>
      <c r="B86" s="154">
        <v>2.4799999999999999E-2</v>
      </c>
      <c r="C86" s="154">
        <v>1.32E-2</v>
      </c>
      <c r="D86" s="19"/>
      <c r="E86" s="19"/>
      <c r="F86" s="19"/>
      <c r="G86" s="19"/>
      <c r="H86" s="19"/>
      <c r="I86" s="19"/>
      <c r="J86" s="19"/>
      <c r="K86" s="19"/>
      <c r="L86" s="19"/>
      <c r="M86" s="19"/>
      <c r="N86" s="19"/>
      <c r="O86" s="19"/>
    </row>
    <row r="87" spans="1:15">
      <c r="A87" s="129">
        <v>2108</v>
      </c>
      <c r="B87" s="154">
        <v>2.4799999999999999E-2</v>
      </c>
      <c r="C87" s="154">
        <v>1.32E-2</v>
      </c>
      <c r="D87" s="19"/>
      <c r="E87" s="19"/>
      <c r="F87" s="19"/>
      <c r="G87" s="19"/>
      <c r="H87" s="19"/>
      <c r="I87" s="19"/>
      <c r="J87" s="19"/>
      <c r="K87" s="19"/>
      <c r="L87" s="19"/>
      <c r="M87" s="19"/>
      <c r="N87" s="19"/>
      <c r="O87" s="19"/>
    </row>
    <row r="88" spans="1:15">
      <c r="A88" s="129">
        <v>2109</v>
      </c>
      <c r="B88" s="154">
        <v>2.4799999999999999E-2</v>
      </c>
      <c r="C88" s="154">
        <v>1.32E-2</v>
      </c>
      <c r="D88" s="19"/>
      <c r="E88" s="19"/>
      <c r="F88" s="19"/>
      <c r="G88" s="19"/>
      <c r="H88" s="19"/>
      <c r="I88" s="19"/>
      <c r="J88" s="19"/>
      <c r="K88" s="19"/>
      <c r="L88" s="19"/>
      <c r="M88" s="19"/>
      <c r="N88" s="19"/>
      <c r="O88" s="19"/>
    </row>
    <row r="89" spans="1:15">
      <c r="A89" s="129">
        <v>2110</v>
      </c>
      <c r="B89" s="154">
        <v>2.4799999999999999E-2</v>
      </c>
      <c r="C89" s="154">
        <v>1.32E-2</v>
      </c>
      <c r="D89" s="19"/>
      <c r="E89" s="19"/>
      <c r="F89" s="19"/>
      <c r="G89" s="19"/>
      <c r="H89" s="19"/>
      <c r="I89" s="19"/>
      <c r="J89" s="19"/>
      <c r="K89" s="19"/>
      <c r="L89" s="19"/>
      <c r="M89" s="19"/>
      <c r="N89" s="19"/>
      <c r="O89" s="19"/>
    </row>
    <row r="90" spans="1:15">
      <c r="A90" s="129">
        <v>2111</v>
      </c>
      <c r="B90" s="154">
        <v>2.4799999999999999E-2</v>
      </c>
      <c r="C90" s="154">
        <v>1.32E-2</v>
      </c>
      <c r="D90" s="19"/>
      <c r="E90" s="19"/>
      <c r="F90" s="19"/>
      <c r="G90" s="19"/>
      <c r="H90" s="19"/>
      <c r="I90" s="19"/>
      <c r="J90" s="19"/>
      <c r="K90" s="19"/>
      <c r="L90" s="19"/>
      <c r="M90" s="19"/>
      <c r="N90" s="19"/>
      <c r="O90" s="19"/>
    </row>
    <row r="91" spans="1:15">
      <c r="A91" s="129">
        <v>2112</v>
      </c>
      <c r="B91" s="154">
        <v>2.4799999999999999E-2</v>
      </c>
      <c r="C91" s="154">
        <v>1.32E-2</v>
      </c>
      <c r="D91" s="19"/>
      <c r="E91" s="19"/>
      <c r="F91" s="19"/>
      <c r="G91" s="19"/>
      <c r="H91" s="19"/>
      <c r="I91" s="19"/>
      <c r="J91" s="19"/>
      <c r="K91" s="19"/>
      <c r="L91" s="19"/>
      <c r="M91" s="19"/>
      <c r="N91" s="19"/>
      <c r="O91" s="19"/>
    </row>
    <row r="92" spans="1:15">
      <c r="A92" s="129">
        <v>2113</v>
      </c>
      <c r="B92" s="154">
        <v>2.4799999999999999E-2</v>
      </c>
      <c r="C92" s="154">
        <v>1.32E-2</v>
      </c>
      <c r="D92" s="19"/>
      <c r="E92" s="19"/>
      <c r="F92" s="19"/>
      <c r="G92" s="19"/>
      <c r="H92" s="19"/>
      <c r="I92" s="19"/>
      <c r="J92" s="19"/>
      <c r="K92" s="19"/>
      <c r="L92" s="19"/>
      <c r="M92" s="19"/>
      <c r="N92" s="19"/>
      <c r="O92" s="19"/>
    </row>
    <row r="93" spans="1:15">
      <c r="A93" s="129">
        <v>2114</v>
      </c>
      <c r="B93" s="154">
        <v>2.4799999999999999E-2</v>
      </c>
      <c r="C93" s="154">
        <v>1.32E-2</v>
      </c>
      <c r="D93" s="19"/>
      <c r="E93" s="19"/>
      <c r="F93" s="19"/>
      <c r="G93" s="19"/>
      <c r="H93" s="19"/>
      <c r="I93" s="19"/>
      <c r="J93" s="19"/>
      <c r="K93" s="19"/>
      <c r="L93" s="19"/>
      <c r="M93" s="19"/>
      <c r="N93" s="19"/>
      <c r="O93" s="19"/>
    </row>
    <row r="94" spans="1:15">
      <c r="A94" s="129">
        <v>2115</v>
      </c>
      <c r="B94" s="154">
        <v>2.4799999999999999E-2</v>
      </c>
      <c r="C94" s="154">
        <v>1.32E-2</v>
      </c>
      <c r="D94" s="19"/>
      <c r="E94" s="19"/>
      <c r="F94" s="19"/>
      <c r="G94" s="19"/>
      <c r="H94" s="19"/>
      <c r="I94" s="19"/>
      <c r="J94" s="19"/>
      <c r="K94" s="19"/>
      <c r="L94" s="19"/>
      <c r="M94" s="19"/>
      <c r="N94" s="19"/>
      <c r="O94" s="19"/>
    </row>
    <row r="95" spans="1:15">
      <c r="A95" s="129">
        <v>2116</v>
      </c>
      <c r="B95" s="154">
        <v>2.4799999999999999E-2</v>
      </c>
      <c r="C95" s="154">
        <v>1.32E-2</v>
      </c>
      <c r="D95" s="19"/>
      <c r="E95" s="19"/>
      <c r="F95" s="19"/>
      <c r="G95" s="19"/>
      <c r="H95" s="19"/>
      <c r="I95" s="19"/>
      <c r="J95" s="19"/>
      <c r="K95" s="19"/>
      <c r="L95" s="19"/>
      <c r="M95" s="19"/>
      <c r="N95" s="19"/>
      <c r="O95" s="19"/>
    </row>
    <row r="96" spans="1:15">
      <c r="A96" s="129">
        <v>2117</v>
      </c>
      <c r="B96" s="154">
        <v>2.4799999999999999E-2</v>
      </c>
      <c r="C96" s="154">
        <v>1.32E-2</v>
      </c>
      <c r="D96" s="19"/>
      <c r="E96" s="19"/>
      <c r="F96" s="19"/>
      <c r="G96" s="19"/>
      <c r="H96" s="19"/>
      <c r="I96" s="19"/>
      <c r="J96" s="19"/>
      <c r="K96" s="19"/>
      <c r="L96" s="19"/>
      <c r="M96" s="19"/>
      <c r="N96" s="19"/>
      <c r="O96" s="19"/>
    </row>
    <row r="97" spans="1:15">
      <c r="A97" s="129">
        <v>2118</v>
      </c>
      <c r="B97" s="154">
        <v>2.4799999999999999E-2</v>
      </c>
      <c r="C97" s="154">
        <v>1.32E-2</v>
      </c>
      <c r="D97" s="19"/>
      <c r="E97" s="19"/>
      <c r="F97" s="19"/>
      <c r="G97" s="19"/>
      <c r="H97" s="19"/>
      <c r="I97" s="19"/>
      <c r="J97" s="19"/>
      <c r="K97" s="19"/>
      <c r="L97" s="19"/>
      <c r="M97" s="19"/>
      <c r="N97" s="19"/>
      <c r="O97" s="19"/>
    </row>
    <row r="98" spans="1:15">
      <c r="A98" s="129">
        <v>2119</v>
      </c>
      <c r="B98" s="154">
        <v>2.4799999999999999E-2</v>
      </c>
      <c r="C98" s="154">
        <v>1.32E-2</v>
      </c>
      <c r="D98" s="19"/>
      <c r="E98" s="19"/>
      <c r="F98" s="19"/>
      <c r="G98" s="19"/>
      <c r="H98" s="19"/>
      <c r="I98" s="19"/>
      <c r="J98" s="19"/>
      <c r="K98" s="19"/>
      <c r="L98" s="19"/>
      <c r="M98" s="19"/>
      <c r="N98" s="19"/>
      <c r="O98" s="19"/>
    </row>
    <row r="99" spans="1:15">
      <c r="A99" s="129">
        <v>2120</v>
      </c>
      <c r="B99" s="154">
        <v>2.4799999999999999E-2</v>
      </c>
      <c r="C99" s="154">
        <v>1.32E-2</v>
      </c>
      <c r="D99" s="19"/>
      <c r="E99" s="19"/>
      <c r="F99" s="19"/>
      <c r="G99" s="19"/>
      <c r="H99" s="19"/>
      <c r="I99" s="19"/>
      <c r="J99" s="19"/>
      <c r="K99" s="19"/>
      <c r="L99" s="19"/>
      <c r="M99" s="19"/>
      <c r="N99" s="19"/>
      <c r="O99" s="19"/>
    </row>
    <row r="100" spans="1:15">
      <c r="A100" s="129">
        <v>2121</v>
      </c>
      <c r="B100" s="154">
        <v>2.4799999999999999E-2</v>
      </c>
      <c r="C100" s="154">
        <v>1.32E-2</v>
      </c>
      <c r="D100" s="19"/>
      <c r="E100" s="19"/>
      <c r="F100" s="19"/>
      <c r="G100" s="19"/>
      <c r="H100" s="19"/>
      <c r="I100" s="19"/>
      <c r="J100" s="19"/>
      <c r="K100" s="19"/>
      <c r="L100" s="19"/>
      <c r="M100" s="19"/>
      <c r="N100" s="19"/>
      <c r="O100" s="19"/>
    </row>
    <row r="101" spans="1:15">
      <c r="A101" s="129">
        <v>2122</v>
      </c>
      <c r="B101" s="154">
        <v>2.4799999999999999E-2</v>
      </c>
      <c r="C101" s="154">
        <v>1.32E-2</v>
      </c>
      <c r="D101" s="19"/>
      <c r="E101" s="19"/>
      <c r="F101" s="19"/>
      <c r="G101" s="19"/>
      <c r="H101" s="19"/>
      <c r="I101" s="19"/>
      <c r="J101" s="19"/>
      <c r="K101" s="19"/>
      <c r="L101" s="19"/>
      <c r="M101" s="19"/>
      <c r="N101" s="19"/>
      <c r="O101" s="19"/>
    </row>
    <row r="102" spans="1:15">
      <c r="A102" s="129">
        <v>2123</v>
      </c>
      <c r="B102" s="154">
        <v>2.4799999999999999E-2</v>
      </c>
      <c r="C102" s="154">
        <v>1.32E-2</v>
      </c>
      <c r="D102" s="19"/>
      <c r="E102" s="19"/>
      <c r="F102" s="19"/>
      <c r="G102" s="19"/>
      <c r="H102" s="19"/>
      <c r="I102" s="19"/>
      <c r="J102" s="19"/>
      <c r="K102" s="19"/>
      <c r="L102" s="19"/>
      <c r="M102" s="19"/>
      <c r="N102" s="19"/>
      <c r="O102" s="19"/>
    </row>
    <row r="103" spans="1:15">
      <c r="A103" s="129">
        <v>2124</v>
      </c>
      <c r="B103" s="154">
        <v>2.4799999999999999E-2</v>
      </c>
      <c r="C103" s="154">
        <v>1.32E-2</v>
      </c>
      <c r="D103" s="19"/>
      <c r="E103" s="19"/>
      <c r="F103" s="19"/>
      <c r="G103" s="19"/>
      <c r="H103" s="19"/>
      <c r="I103" s="19"/>
      <c r="J103" s="19"/>
      <c r="K103" s="19"/>
      <c r="L103" s="19"/>
      <c r="M103" s="19"/>
      <c r="N103" s="19"/>
      <c r="O103" s="19"/>
    </row>
    <row r="104" spans="1:15">
      <c r="A104" s="129">
        <v>2125</v>
      </c>
      <c r="B104" s="154">
        <v>2.4799999999999999E-2</v>
      </c>
      <c r="C104" s="154">
        <v>1.32E-2</v>
      </c>
      <c r="D104" s="19"/>
      <c r="E104" s="19"/>
      <c r="F104" s="19"/>
      <c r="G104" s="19"/>
      <c r="H104" s="19"/>
      <c r="I104" s="19"/>
      <c r="J104" s="19"/>
      <c r="K104" s="19"/>
      <c r="L104" s="19"/>
      <c r="M104" s="19"/>
      <c r="N104" s="19"/>
      <c r="O104" s="19"/>
    </row>
    <row r="105" spans="1:15">
      <c r="A105" s="129">
        <v>2126</v>
      </c>
      <c r="B105" s="154">
        <v>2.4799999999999999E-2</v>
      </c>
      <c r="C105" s="154">
        <v>1.32E-2</v>
      </c>
      <c r="D105" s="19"/>
      <c r="E105" s="19"/>
      <c r="F105" s="19"/>
      <c r="G105" s="19"/>
      <c r="H105" s="19"/>
      <c r="I105" s="19"/>
      <c r="J105" s="19"/>
      <c r="K105" s="19"/>
      <c r="L105" s="19"/>
      <c r="M105" s="19"/>
      <c r="N105" s="19"/>
      <c r="O105" s="19"/>
    </row>
    <row r="106" spans="1:15">
      <c r="A106" s="129">
        <v>2127</v>
      </c>
      <c r="B106" s="154">
        <v>2.4799999999999999E-2</v>
      </c>
      <c r="C106" s="154">
        <v>1.32E-2</v>
      </c>
      <c r="D106" s="19"/>
      <c r="E106" s="19"/>
      <c r="F106" s="19"/>
      <c r="G106" s="19"/>
      <c r="H106" s="19"/>
      <c r="I106" s="19"/>
      <c r="J106" s="19"/>
      <c r="K106" s="19"/>
      <c r="L106" s="19"/>
      <c r="M106" s="19"/>
      <c r="N106" s="19"/>
      <c r="O106" s="19"/>
    </row>
    <row r="107" spans="1:15">
      <c r="A107" s="129">
        <v>2128</v>
      </c>
      <c r="B107" s="154">
        <v>2.4799999999999999E-2</v>
      </c>
      <c r="C107" s="154">
        <v>1.32E-2</v>
      </c>
      <c r="D107" s="19"/>
      <c r="E107" s="19"/>
      <c r="F107" s="19"/>
      <c r="G107" s="19"/>
      <c r="H107" s="19"/>
      <c r="I107" s="19"/>
      <c r="J107" s="19"/>
      <c r="K107" s="19"/>
      <c r="L107" s="19"/>
      <c r="M107" s="19"/>
      <c r="N107" s="19"/>
      <c r="O107" s="19"/>
    </row>
    <row r="108" spans="1:15">
      <c r="A108" s="129">
        <v>2129</v>
      </c>
      <c r="B108" s="154">
        <v>2.4799999999999999E-2</v>
      </c>
      <c r="C108" s="154">
        <v>1.32E-2</v>
      </c>
      <c r="D108" s="19"/>
      <c r="E108" s="19"/>
      <c r="F108" s="19"/>
      <c r="G108" s="19"/>
      <c r="H108" s="19"/>
      <c r="I108" s="19"/>
      <c r="J108" s="19"/>
      <c r="K108" s="19"/>
      <c r="L108" s="19"/>
      <c r="M108" s="19"/>
      <c r="N108" s="19"/>
      <c r="O108" s="19"/>
    </row>
    <row r="109" spans="1:15">
      <c r="A109" s="129">
        <v>2130</v>
      </c>
      <c r="B109" s="154">
        <v>2.4799999999999999E-2</v>
      </c>
      <c r="C109" s="154">
        <v>1.32E-2</v>
      </c>
      <c r="D109" s="19"/>
      <c r="E109" s="19"/>
      <c r="F109" s="19"/>
      <c r="G109" s="19"/>
      <c r="H109" s="19"/>
      <c r="I109" s="19"/>
      <c r="J109" s="19"/>
      <c r="K109" s="19"/>
      <c r="L109" s="19"/>
      <c r="M109" s="19"/>
      <c r="N109" s="19"/>
      <c r="O109" s="19"/>
    </row>
    <row r="110" spans="1:15">
      <c r="A110" s="19"/>
      <c r="B110" s="19"/>
      <c r="C110" s="19"/>
      <c r="D110" s="19"/>
      <c r="E110" s="19"/>
      <c r="F110" s="19"/>
      <c r="G110" s="19"/>
      <c r="H110" s="19"/>
      <c r="I110" s="19"/>
      <c r="J110" s="19"/>
      <c r="K110" s="19"/>
      <c r="L110" s="19"/>
      <c r="M110" s="19"/>
      <c r="N110" s="19"/>
      <c r="O110" s="19"/>
    </row>
    <row r="111" spans="1:15">
      <c r="A111" s="19"/>
      <c r="B111" s="19"/>
      <c r="C111" s="19"/>
      <c r="D111" s="19"/>
      <c r="E111" s="19"/>
      <c r="F111" s="19"/>
      <c r="G111" s="19"/>
      <c r="H111" s="19"/>
      <c r="I111" s="19"/>
      <c r="J111" s="19"/>
      <c r="K111" s="19"/>
      <c r="L111" s="19"/>
      <c r="M111" s="19"/>
      <c r="N111" s="19"/>
      <c r="O111" s="19"/>
    </row>
  </sheetData>
  <mergeCells count="2">
    <mergeCell ref="E10:G10"/>
    <mergeCell ref="A1:C1"/>
  </mergeCells>
  <pageMargins left="0.7" right="0.7" top="0.75" bottom="0.75" header="0.3" footer="0.3"/>
  <drawing r:id="rId1"/>
  <legacy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F1260-84BD-4962-B87E-DFEB23D05EB7}">
  <sheetPr>
    <tabColor theme="0" tint="-0.249977111117893"/>
  </sheetPr>
  <dimension ref="A1:Q20"/>
  <sheetViews>
    <sheetView workbookViewId="0">
      <selection sqref="A1:E1"/>
    </sheetView>
  </sheetViews>
  <sheetFormatPr defaultColWidth="0" defaultRowHeight="15" zeroHeight="1"/>
  <cols>
    <col min="1" max="1" width="4.140625" bestFit="1" customWidth="1"/>
    <col min="2" max="2" width="7.85546875" bestFit="1" customWidth="1"/>
    <col min="3" max="3" width="6.42578125" bestFit="1" customWidth="1"/>
    <col min="4" max="4" width="9.28515625" bestFit="1" customWidth="1"/>
    <col min="5" max="5" width="6" bestFit="1" customWidth="1"/>
    <col min="6" max="6" width="2.7109375" customWidth="1"/>
    <col min="7" max="7" width="30.85546875" bestFit="1" customWidth="1"/>
    <col min="8" max="8" width="5.85546875" customWidth="1"/>
    <col min="9" max="9" width="2.7109375" customWidth="1"/>
    <col min="10" max="10" width="19.85546875" bestFit="1" customWidth="1"/>
    <col min="11" max="11" width="24.140625" bestFit="1" customWidth="1"/>
    <col min="12" max="12" width="14.7109375" style="213" bestFit="1" customWidth="1"/>
    <col min="13" max="13" width="11.42578125" bestFit="1" customWidth="1"/>
    <col min="14" max="14" width="13.85546875" bestFit="1" customWidth="1"/>
    <col min="15" max="15" width="11.7109375" bestFit="1" customWidth="1"/>
    <col min="16" max="16" width="15.85546875" bestFit="1" customWidth="1"/>
    <col min="17" max="17" width="8.7109375" customWidth="1"/>
    <col min="18" max="16384" width="8.7109375" hidden="1"/>
  </cols>
  <sheetData>
    <row r="1" spans="1:17" s="107" customFormat="1">
      <c r="A1" s="563" t="s">
        <v>107</v>
      </c>
      <c r="B1" s="580"/>
      <c r="C1" s="580"/>
      <c r="D1" s="580"/>
      <c r="E1" s="581"/>
      <c r="F1" s="324"/>
      <c r="G1" s="563" t="s">
        <v>404</v>
      </c>
      <c r="H1" s="581"/>
      <c r="I1" s="324"/>
      <c r="J1" s="235" t="s">
        <v>95</v>
      </c>
      <c r="K1" s="236" t="s">
        <v>32</v>
      </c>
      <c r="L1" s="237" t="s">
        <v>104</v>
      </c>
      <c r="M1" s="237" t="s">
        <v>329</v>
      </c>
      <c r="N1" s="237" t="s">
        <v>328</v>
      </c>
      <c r="O1" s="237" t="s">
        <v>99</v>
      </c>
      <c r="P1" s="19"/>
      <c r="Q1" s="324"/>
    </row>
    <row r="2" spans="1:17">
      <c r="A2" s="144" t="s">
        <v>400</v>
      </c>
      <c r="B2" s="217" t="s">
        <v>395</v>
      </c>
      <c r="C2" s="145" t="s">
        <v>401</v>
      </c>
      <c r="D2" s="145" t="s">
        <v>403</v>
      </c>
      <c r="E2" s="147" t="s">
        <v>396</v>
      </c>
      <c r="F2" s="19"/>
      <c r="G2" s="108" t="s">
        <v>108</v>
      </c>
      <c r="H2" s="220">
        <v>0</v>
      </c>
      <c r="I2" s="19"/>
      <c r="J2" s="14" t="s">
        <v>356</v>
      </c>
      <c r="K2" s="146" t="s">
        <v>137</v>
      </c>
      <c r="L2" s="304">
        <f>IFERROR(INDEX(Materialedata[Pris/m²],MATCH(Økonomi_EksisterendeYdervæg[[#This Row],[Materiale]],Materialedata[Materiale],0)),BlankTegn)</f>
        <v>532.41417433502318</v>
      </c>
      <c r="M2" s="224">
        <f>IFERROR(INDEX(Materialedata[V-procent],MATCH(Økonomi_EksisterendeYdervæg[[#This Row],[Materiale]],Materialedata[Materiale],0)),BlankTegn)</f>
        <v>0.02</v>
      </c>
      <c r="N2" s="228">
        <f>IFERROR(INDEX(Materialedata[V-interval],MATCH(Økonomi_EksisterendeYdervæg[[#This Row],[Materiale]],Materialedata[Materiale],0)),BlankTegn)</f>
        <v>1</v>
      </c>
      <c r="O2" s="216">
        <f>IFERROR(INDEX(Materialedata[Levetid],MATCH(Økonomi_EksisterendeYdervæg[[#This Row],[Materiale]],Materialedata[Materiale],0)),BlankTegn)</f>
        <v>80</v>
      </c>
      <c r="P2" s="19"/>
      <c r="Q2" s="19"/>
    </row>
    <row r="3" spans="1:17">
      <c r="A3" s="167">
        <v>0</v>
      </c>
      <c r="B3" s="226" t="s">
        <v>402</v>
      </c>
      <c r="C3" s="16">
        <v>0</v>
      </c>
      <c r="D3" s="167">
        <f>C3-1</f>
        <v>-1</v>
      </c>
      <c r="E3" s="218">
        <v>0</v>
      </c>
      <c r="F3" s="19"/>
      <c r="G3" s="108" t="s">
        <v>109</v>
      </c>
      <c r="H3" s="220">
        <v>6.0000000000000001E-3</v>
      </c>
      <c r="I3" s="19"/>
      <c r="J3" s="19"/>
      <c r="K3" s="19"/>
      <c r="L3" s="337"/>
      <c r="M3" s="19"/>
      <c r="N3" s="19"/>
      <c r="O3" s="19"/>
      <c r="P3" s="19"/>
      <c r="Q3" s="19"/>
    </row>
    <row r="4" spans="1:17">
      <c r="A4" s="216">
        <v>1</v>
      </c>
      <c r="B4" s="227" t="s">
        <v>397</v>
      </c>
      <c r="C4" s="219">
        <v>1</v>
      </c>
      <c r="D4" s="216">
        <f>C4-1</f>
        <v>0</v>
      </c>
      <c r="E4" s="218">
        <v>3.5000000000000003E-2</v>
      </c>
      <c r="F4" s="19"/>
      <c r="G4" s="108" t="s">
        <v>110</v>
      </c>
      <c r="H4" s="221"/>
      <c r="I4" s="19"/>
      <c r="J4" s="233" t="s">
        <v>95</v>
      </c>
      <c r="K4" s="233" t="s">
        <v>32</v>
      </c>
      <c r="L4" s="234" t="s">
        <v>104</v>
      </c>
      <c r="M4" s="234" t="s">
        <v>329</v>
      </c>
      <c r="N4" s="234" t="s">
        <v>328</v>
      </c>
      <c r="O4" s="234" t="s">
        <v>99</v>
      </c>
      <c r="P4" s="234" t="s">
        <v>415</v>
      </c>
      <c r="Q4" s="19"/>
    </row>
    <row r="5" spans="1:17">
      <c r="A5" s="216">
        <v>2</v>
      </c>
      <c r="B5" s="227" t="s">
        <v>398</v>
      </c>
      <c r="C5" s="219">
        <v>36</v>
      </c>
      <c r="D5" s="216">
        <f>C5-1</f>
        <v>35</v>
      </c>
      <c r="E5" s="218">
        <v>2.5000000000000001E-2</v>
      </c>
      <c r="F5" s="19"/>
      <c r="G5" s="108" t="s">
        <v>111</v>
      </c>
      <c r="H5" s="220">
        <v>5.0000000000000001E-3</v>
      </c>
      <c r="I5" s="19"/>
      <c r="J5" s="50" t="s">
        <v>33</v>
      </c>
      <c r="K5" s="239" t="str">
        <f>Input_Facadebeklædning</f>
        <v>&gt; Vælg facadebeklædning</v>
      </c>
      <c r="L5" s="305" t="str" cm="1">
        <f t="array" ref="L5">IFERROR(INDEX(Materialedata[Pris/m²],MATCH(1,(Materialedata[Komponent]=Økonomi_Klimafacade[[#This Row],[Komponent]])*(Materialedata[Materiale]=Økonomi_Klimafacade[[#This Row],[Materiale]]),0))
*((1+Byggeomkostningsindeks)^(Input_Etableringsår-MolioPrisdataÅr)),BlankTegn)</f>
        <v>.</v>
      </c>
      <c r="M5" s="150" t="str" cm="1">
        <f t="array" ref="M5">IFERROR(INDEX(Materialedata[V-procent],MATCH(1,(Materialedata[Komponent]=Økonomi_Klimafacade[[#This Row],[Komponent]])*(Materialedata[Materiale]=Økonomi_Klimafacade[[#This Row],[Materiale]]),0)),BlankTegn)</f>
        <v>.</v>
      </c>
      <c r="N5" s="216" t="str" cm="1">
        <f t="array" ref="N5">IFERROR(INDEX(Materialedata[V-interval],MATCH(1,(Materialedata[Komponent]=Økonomi_Klimafacade[[#This Row],[Komponent]])*(Materialedata[Materiale]=Økonomi_Klimafacade[[#This Row],[Materiale]]),0)),BlankTegn)</f>
        <v>.</v>
      </c>
      <c r="O5" s="216" t="str" cm="1">
        <f t="array" ref="O5">IFERROR(INDEX(Materialedata[Levetid],MATCH(1,(Materialedata[Komponent]=Økonomi_Klimafacade[[#This Row],[Komponent]])*(Materialedata[Materiale]=Økonomi_Klimafacade[[#This Row],[Materiale]]),0)),BlankTegn)</f>
        <v>.</v>
      </c>
      <c r="P5" s="218">
        <v>1.25</v>
      </c>
      <c r="Q5" s="19"/>
    </row>
    <row r="6" spans="1:17">
      <c r="A6" s="216">
        <v>3</v>
      </c>
      <c r="B6" s="227" t="s">
        <v>399</v>
      </c>
      <c r="C6" s="219">
        <v>71</v>
      </c>
      <c r="D6" s="216">
        <f>C6-1</f>
        <v>70</v>
      </c>
      <c r="E6" s="218">
        <v>1.4999999999999999E-2</v>
      </c>
      <c r="F6" s="19"/>
      <c r="G6" s="108" t="s">
        <v>112</v>
      </c>
      <c r="H6" s="221"/>
      <c r="I6" s="19"/>
      <c r="J6" s="50" t="s">
        <v>36</v>
      </c>
      <c r="K6" s="239" t="str">
        <f>Input_Vindspærre</f>
        <v>&gt; Vælg vindspærre</v>
      </c>
      <c r="L6" s="306" t="str" cm="1">
        <f t="array" ref="L6">IFERROR(INDEX(Materialedata[Pris/m²],MATCH(1,(Materialedata[Komponent]=Økonomi_Klimafacade[[#This Row],[Komponent]])*(Materialedata[Materiale]=Økonomi_Klimafacade[[#This Row],[Materiale]]),0))
*((1+Byggeomkostningsindeks)^(Input_Etableringsår-MolioPrisdataÅr)),BlankTegn)</f>
        <v>.</v>
      </c>
      <c r="M6" s="150" t="str" cm="1">
        <f t="array" ref="M6">IFERROR(INDEX(Materialedata[V-procent],MATCH(1,(Materialedata[Komponent]=Økonomi_Klimafacade[[#This Row],[Komponent]])*(Materialedata[Materiale]=Økonomi_Klimafacade[[#This Row],[Materiale]]),0)),BlankTegn)</f>
        <v>.</v>
      </c>
      <c r="N6" s="216" t="str" cm="1">
        <f t="array" ref="N6">IFERROR(INDEX(Materialedata[V-interval],MATCH(1,(Materialedata[Komponent]=Økonomi_Klimafacade[[#This Row],[Komponent]])*(Materialedata[Materiale]=Økonomi_Klimafacade[[#This Row],[Materiale]]),0)),BlankTegn)</f>
        <v>.</v>
      </c>
      <c r="O6" s="216" t="str" cm="1">
        <f t="array" ref="O6">IFERROR(INDEX(Materialedata[Levetid],MATCH(1,(Materialedata[Komponent]=Økonomi_Klimafacade[[#This Row],[Komponent]])*(Materialedata[Materiale]=Økonomi_Klimafacade[[#This Row],[Materiale]]),0)),BlankTegn)</f>
        <v>.</v>
      </c>
      <c r="P6" s="218">
        <v>1.25</v>
      </c>
      <c r="Q6" s="19"/>
    </row>
    <row r="7" spans="1:17">
      <c r="A7" s="19"/>
      <c r="B7" s="19"/>
      <c r="C7" s="19"/>
      <c r="D7" s="19"/>
      <c r="E7" s="19"/>
      <c r="F7" s="19"/>
      <c r="G7" s="108" t="s">
        <v>113</v>
      </c>
      <c r="H7" s="221"/>
      <c r="I7" s="19"/>
      <c r="J7" s="50" t="s">
        <v>248</v>
      </c>
      <c r="K7" s="239" t="str">
        <f>Input_Isolering&amp;" ("&amp;Input_Isoleringstykkelse&amp;")"</f>
        <v>&gt; Vælg isolering (Afventer)</v>
      </c>
      <c r="L7" s="306" t="str" cm="1">
        <f t="array" ref="L7">IFERROR(INDEX(Materialedata[Pris/m²],MATCH(1,(Materialedata[Komponent]=Økonomi_Klimafacade[[#This Row],[Komponent]])*(Materialedata[Materiale]=Økonomi_Klimafacade[[#This Row],[Materiale]]),0))
*((1+Byggeomkostningsindeks)^(Input_Etableringsår-MolioPrisdataÅr)),BlankTegn)</f>
        <v>.</v>
      </c>
      <c r="M7" s="150" t="str" cm="1">
        <f t="array" ref="M7">IFERROR(INDEX(Materialedata[V-procent],MATCH(1,(Materialedata[Komponent]=Økonomi_Klimafacade[[#This Row],[Komponent]])*(Materialedata[Materiale]=Økonomi_Klimafacade[[#This Row],[Materiale]]),0)),BlankTegn)</f>
        <v>.</v>
      </c>
      <c r="N7" s="216" t="str" cm="1">
        <f t="array" ref="N7">IFERROR(INDEX(Materialedata[V-interval],MATCH(1,(Materialedata[Komponent]=Økonomi_Klimafacade[[#This Row],[Komponent]])*(Materialedata[Materiale]=Økonomi_Klimafacade[[#This Row],[Materiale]]),0)),BlankTegn)</f>
        <v>.</v>
      </c>
      <c r="O7" s="216" t="str" cm="1">
        <f t="array" ref="O7">IFERROR(INDEX(Materialedata[Levetid],MATCH(1,(Materialedata[Komponent]=Økonomi_Klimafacade[[#This Row],[Komponent]])*(Materialedata[Materiale]=Økonomi_Klimafacade[[#This Row],[Materiale]]),0)),BlankTegn)</f>
        <v>.</v>
      </c>
      <c r="P7" s="218">
        <v>1.25</v>
      </c>
      <c r="Q7" s="19"/>
    </row>
    <row r="8" spans="1:17">
      <c r="A8" s="19"/>
      <c r="B8" s="19"/>
      <c r="C8" s="19"/>
      <c r="D8" s="19"/>
      <c r="E8" s="19"/>
      <c r="F8" s="19"/>
      <c r="G8" s="108" t="s">
        <v>114</v>
      </c>
      <c r="H8" s="221"/>
      <c r="I8" s="19"/>
      <c r="J8" s="50" t="s">
        <v>42</v>
      </c>
      <c r="K8" s="239" t="str">
        <f>Input_Skelet&amp;" ("&amp;Input_Isoleringstykkelse&amp;")"</f>
        <v>&gt; Vælg skelet (Afventer)</v>
      </c>
      <c r="L8" s="306" t="str" cm="1">
        <f t="array" ref="L8">IFERROR(INDEX(Materialedata[Pris/m²],MATCH(1,(Materialedata[Komponent]=Økonomi_Klimafacade[[#This Row],[Komponent]])*(Materialedata[Materiale]=Økonomi_Klimafacade[[#This Row],[Materiale]]),0))
*((1+Byggeomkostningsindeks)^(Input_Etableringsår-MolioPrisdataÅr)),BlankTegn)</f>
        <v>.</v>
      </c>
      <c r="M8" s="150" t="str" cm="1">
        <f t="array" ref="M8">IFERROR(INDEX(Materialedata[V-procent],MATCH(1,(Materialedata[Komponent]=Økonomi_Klimafacade[[#This Row],[Komponent]])*(Materialedata[Materiale]=Økonomi_Klimafacade[[#This Row],[Materiale]]),0)),BlankTegn)</f>
        <v>.</v>
      </c>
      <c r="N8" s="216" t="str" cm="1">
        <f t="array" ref="N8">IFERROR(INDEX(Materialedata[V-interval],MATCH(1,(Materialedata[Komponent]=Økonomi_Klimafacade[[#This Row],[Komponent]])*(Materialedata[Materiale]=Økonomi_Klimafacade[[#This Row],[Materiale]]),0)),BlankTegn)</f>
        <v>.</v>
      </c>
      <c r="O8" s="216" t="str" cm="1">
        <f t="array" ref="O8">IFERROR(INDEX(Materialedata[Levetid],MATCH(1,(Materialedata[Komponent]=Økonomi_Klimafacade[[#This Row],[Komponent]])*(Materialedata[Materiale]=Økonomi_Klimafacade[[#This Row],[Materiale]]),0)),BlankTegn)</f>
        <v>.</v>
      </c>
      <c r="P8" s="218">
        <v>1.25</v>
      </c>
      <c r="Q8" s="19"/>
    </row>
    <row r="9" spans="1:17">
      <c r="A9" s="19"/>
      <c r="B9" s="19"/>
      <c r="C9" s="19"/>
      <c r="D9" s="19"/>
      <c r="E9" s="19"/>
      <c r="F9" s="19"/>
      <c r="G9" s="108" t="s">
        <v>115</v>
      </c>
      <c r="H9" s="221"/>
      <c r="I9" s="19"/>
      <c r="J9" s="50" t="s">
        <v>40</v>
      </c>
      <c r="K9" s="239" t="str">
        <f>Input_Afstandsprofil</f>
        <v>&gt; Vælg afstandsprofil</v>
      </c>
      <c r="L9" s="306" t="str" cm="1">
        <f t="array" ref="L9">IFERROR(INDEX(Materialedata[Pris/m²],MATCH(1,(Materialedata[Komponent]=Økonomi_Klimafacade[[#This Row],[Komponent]])*(Materialedata[Materiale]=Økonomi_Klimafacade[[#This Row],[Materiale]]),0))
*((1+Byggeomkostningsindeks)^(Input_Etableringsår-MolioPrisdataÅr)),BlankTegn)</f>
        <v>.</v>
      </c>
      <c r="M9" s="150" t="str" cm="1">
        <f t="array" ref="M9">IFERROR(INDEX(Materialedata[V-procent],MATCH(1,(Materialedata[Komponent]=Økonomi_Klimafacade[[#This Row],[Komponent]])*(Materialedata[Materiale]=Økonomi_Klimafacade[[#This Row],[Materiale]]),0)),BlankTegn)</f>
        <v>.</v>
      </c>
      <c r="N9" s="229" t="str" cm="1">
        <f t="array" ref="N9">IFERROR(INDEX(Materialedata[V-interval],MATCH(1,(Materialedata[Komponent]=Økonomi_Klimafacade[[#This Row],[Komponent]])*(Materialedata[Materiale]=Økonomi_Klimafacade[[#This Row],[Materiale]]),0)),BlankTegn)</f>
        <v>.</v>
      </c>
      <c r="O9" s="229" t="str" cm="1">
        <f t="array" ref="O9">IFERROR(INDEX(Materialedata[Levetid],MATCH(1,(Materialedata[Komponent]=Økonomi_Klimafacade[[#This Row],[Komponent]])*(Materialedata[Materiale]=Økonomi_Klimafacade[[#This Row],[Materiale]]),0)),BlankTegn)</f>
        <v>.</v>
      </c>
      <c r="P9" s="230">
        <v>1.25</v>
      </c>
      <c r="Q9" s="19"/>
    </row>
    <row r="10" spans="1:17">
      <c r="A10" s="19"/>
      <c r="B10" s="19"/>
      <c r="C10" s="19"/>
      <c r="D10" s="19"/>
      <c r="E10" s="19"/>
      <c r="F10" s="19"/>
      <c r="G10" s="108" t="s">
        <v>116</v>
      </c>
      <c r="H10" s="221"/>
      <c r="I10" s="19"/>
      <c r="J10" s="7"/>
      <c r="K10" s="7"/>
      <c r="L10" s="338"/>
      <c r="M10" s="7"/>
      <c r="N10" s="7"/>
      <c r="O10" s="7"/>
      <c r="P10" s="7"/>
      <c r="Q10" s="19"/>
    </row>
    <row r="11" spans="1:17" ht="17.25">
      <c r="A11" s="19"/>
      <c r="B11" s="19"/>
      <c r="C11" s="19"/>
      <c r="D11" s="19"/>
      <c r="E11" s="19"/>
      <c r="F11" s="19"/>
      <c r="G11" s="19"/>
      <c r="H11" s="19"/>
      <c r="I11" s="19"/>
      <c r="J11" s="578" t="s">
        <v>406</v>
      </c>
      <c r="K11" s="579"/>
      <c r="L11" s="307">
        <f>SUM(Økonomi_Klimafacade[Enhedspris])</f>
        <v>0</v>
      </c>
      <c r="M11" s="7"/>
      <c r="N11" s="7"/>
      <c r="O11" s="7"/>
      <c r="P11" s="7"/>
      <c r="Q11" s="19"/>
    </row>
    <row r="12" spans="1:17">
      <c r="A12" s="19"/>
      <c r="B12" s="19"/>
      <c r="C12" s="19"/>
      <c r="D12" s="19"/>
      <c r="E12" s="19"/>
      <c r="F12" s="19"/>
      <c r="G12" s="576" t="s">
        <v>405</v>
      </c>
      <c r="H12" s="577"/>
      <c r="I12" s="19"/>
      <c r="J12" s="19"/>
      <c r="K12" s="19"/>
      <c r="L12" s="337"/>
      <c r="M12" s="19"/>
      <c r="N12" s="19"/>
      <c r="O12" s="19"/>
      <c r="P12" s="19"/>
      <c r="Q12" s="19"/>
    </row>
    <row r="13" spans="1:17">
      <c r="A13" s="19"/>
      <c r="B13" s="19"/>
      <c r="C13" s="19"/>
      <c r="D13" s="19"/>
      <c r="E13" s="19"/>
      <c r="F13" s="19"/>
      <c r="G13" s="108" t="s">
        <v>118</v>
      </c>
      <c r="H13" s="15">
        <v>2024</v>
      </c>
      <c r="I13" s="19"/>
      <c r="J13" s="575" t="s">
        <v>117</v>
      </c>
      <c r="K13" s="575"/>
      <c r="L13" s="575"/>
      <c r="M13" s="19"/>
      <c r="N13" s="19"/>
      <c r="O13" s="19"/>
      <c r="P13" s="19"/>
      <c r="Q13" s="19"/>
    </row>
    <row r="14" spans="1:17">
      <c r="A14" s="19"/>
      <c r="B14" s="19"/>
      <c r="C14" s="19"/>
      <c r="D14" s="19"/>
      <c r="E14" s="19"/>
      <c r="F14" s="19"/>
      <c r="G14" s="108" t="s">
        <v>54</v>
      </c>
      <c r="H14" s="222">
        <f>Input_Etableringsår</f>
        <v>2024</v>
      </c>
      <c r="I14" s="19"/>
      <c r="J14" t="s">
        <v>418</v>
      </c>
      <c r="K14" t="s">
        <v>417</v>
      </c>
      <c r="L14" s="143" t="s">
        <v>416</v>
      </c>
      <c r="M14" s="19"/>
      <c r="N14" s="19"/>
      <c r="O14" s="19"/>
      <c r="P14" s="19"/>
      <c r="Q14" s="19"/>
    </row>
    <row r="15" spans="1:17">
      <c r="A15" s="19"/>
      <c r="B15" s="19"/>
      <c r="C15" s="19"/>
      <c r="D15" s="19"/>
      <c r="E15" s="19"/>
      <c r="F15" s="19"/>
      <c r="G15" s="166" t="s">
        <v>105</v>
      </c>
      <c r="H15" s="223" cm="1">
        <f t="array" ref="H15">Input_Tidshorisont</f>
        <v>50</v>
      </c>
      <c r="I15" s="19"/>
      <c r="J15" s="10" t="s">
        <v>119</v>
      </c>
      <c r="K15" s="225">
        <v>0.1</v>
      </c>
      <c r="L15" s="308">
        <f>Engangsudgifter[[#This Row],[Procent af total]]*Enhedspris_Klimafacade_Total</f>
        <v>0</v>
      </c>
      <c r="M15" s="19"/>
      <c r="N15" s="19"/>
      <c r="O15" s="19"/>
      <c r="P15" s="19"/>
      <c r="Q15" s="19"/>
    </row>
    <row r="16" spans="1:17">
      <c r="A16" s="19"/>
      <c r="B16" s="19"/>
      <c r="C16" s="19"/>
      <c r="D16" s="19"/>
      <c r="E16" s="19"/>
      <c r="F16" s="19"/>
      <c r="G16" s="19"/>
      <c r="H16" s="19"/>
      <c r="I16" s="19"/>
      <c r="J16" s="157" t="s">
        <v>120</v>
      </c>
      <c r="K16" s="238">
        <v>0.2</v>
      </c>
      <c r="L16" s="309">
        <f>Engangsudgifter[[#This Row],[Procent af total]]*Enhedspris_Klimafacade_Total</f>
        <v>0</v>
      </c>
      <c r="M16" s="19"/>
      <c r="N16" s="19"/>
      <c r="O16" s="19"/>
      <c r="P16" s="19"/>
      <c r="Q16" s="19"/>
    </row>
    <row r="17" spans="1:17">
      <c r="A17" s="19"/>
      <c r="B17" s="19"/>
      <c r="C17" s="19"/>
      <c r="D17" s="19"/>
      <c r="E17" s="19"/>
      <c r="F17" s="19"/>
      <c r="G17" s="19"/>
      <c r="H17" s="19"/>
      <c r="I17" s="19"/>
      <c r="J17" s="19"/>
      <c r="K17" s="19"/>
      <c r="L17" s="337"/>
      <c r="M17" s="19"/>
      <c r="N17" s="19"/>
      <c r="O17" s="19"/>
      <c r="P17" s="19"/>
      <c r="Q17" s="19"/>
    </row>
    <row r="18" spans="1:17">
      <c r="A18" s="19"/>
      <c r="B18" s="19"/>
      <c r="C18" s="19"/>
      <c r="D18" s="19"/>
      <c r="E18" s="19"/>
      <c r="F18" s="19"/>
      <c r="G18" s="19"/>
      <c r="H18" s="19"/>
      <c r="I18" s="19"/>
      <c r="J18" s="231" t="s">
        <v>121</v>
      </c>
      <c r="K18" s="313" t="str">
        <f>IFERROR(INDEX(Energiberegning[Besparelse_m²],MATCH(Input_EksisterendeFacade,Energiberegning[Ydervæg],0)),BlankTegn)</f>
        <v>.</v>
      </c>
      <c r="L18" s="310" t="s">
        <v>449</v>
      </c>
      <c r="M18" s="19"/>
      <c r="N18" s="19"/>
      <c r="O18" s="19"/>
      <c r="P18" s="19"/>
      <c r="Q18" s="19"/>
    </row>
    <row r="19" spans="1:17">
      <c r="A19" s="19"/>
      <c r="B19" s="19"/>
      <c r="C19" s="19"/>
      <c r="D19" s="19"/>
      <c r="E19" s="19"/>
      <c r="F19" s="19"/>
      <c r="G19" s="19"/>
      <c r="H19" s="19"/>
      <c r="I19" s="19"/>
      <c r="J19" s="19"/>
      <c r="K19" s="19"/>
      <c r="L19" s="337"/>
      <c r="M19" s="19"/>
      <c r="N19" s="19"/>
      <c r="O19" s="19"/>
      <c r="P19" s="19"/>
      <c r="Q19" s="19"/>
    </row>
    <row r="20" spans="1:17">
      <c r="A20" s="19"/>
      <c r="B20" s="19"/>
      <c r="C20" s="19"/>
      <c r="D20" s="19"/>
      <c r="E20" s="19"/>
      <c r="F20" s="19"/>
      <c r="G20" s="19"/>
      <c r="H20" s="19"/>
      <c r="I20" s="19"/>
      <c r="J20" s="19"/>
      <c r="K20" s="19"/>
      <c r="L20" s="337"/>
      <c r="M20" s="19"/>
      <c r="N20" s="19"/>
      <c r="O20" s="19"/>
      <c r="P20" s="19"/>
      <c r="Q20" s="19"/>
    </row>
  </sheetData>
  <mergeCells count="5">
    <mergeCell ref="J13:L13"/>
    <mergeCell ref="G12:H12"/>
    <mergeCell ref="J11:K11"/>
    <mergeCell ref="A1:E1"/>
    <mergeCell ref="G1:H1"/>
  </mergeCells>
  <conditionalFormatting sqref="K5:K9">
    <cfRule type="containsText" dxfId="6" priority="1" operator="containsText" text="Afventer">
      <formula>NOT(ISERROR(SEARCH("Afventer",K5)))</formula>
    </cfRule>
    <cfRule type="containsText" dxfId="5" priority="2" operator="containsText" text="&gt;">
      <formula>NOT(ISERROR(SEARCH("&gt;",K5)))</formula>
    </cfRule>
  </conditionalFormatting>
  <pageMargins left="0.7" right="0.7" top="0.75" bottom="0.75" header="0.3" footer="0.3"/>
  <tableParts count="3">
    <tablePart r:id="rId1"/>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EC6C1-BF3D-4B4F-A9B7-E079B987CC88}">
  <sheetPr>
    <tabColor theme="1"/>
  </sheetPr>
  <dimension ref="A1:D14"/>
  <sheetViews>
    <sheetView workbookViewId="0"/>
  </sheetViews>
  <sheetFormatPr defaultColWidth="0" defaultRowHeight="15" zeroHeight="1"/>
  <cols>
    <col min="1" max="1" width="20.7109375" bestFit="1" customWidth="1"/>
    <col min="2" max="2" width="48.42578125" bestFit="1" customWidth="1"/>
    <col min="3" max="3" width="8.85546875" style="139" bestFit="1" customWidth="1"/>
    <col min="4" max="4" width="8.7109375" customWidth="1"/>
    <col min="5" max="16384" width="8.7109375" hidden="1"/>
  </cols>
  <sheetData>
    <row r="1" spans="1:4">
      <c r="A1" s="202" t="s">
        <v>386</v>
      </c>
      <c r="B1" s="202" t="s">
        <v>385</v>
      </c>
      <c r="C1" s="203" t="s">
        <v>384</v>
      </c>
      <c r="D1" s="19"/>
    </row>
    <row r="2" spans="1:4">
      <c r="A2" s="108" t="s">
        <v>348</v>
      </c>
      <c r="B2" s="206" t="str">
        <f>Input_EksisterendeFacade</f>
        <v>&gt; Vælg eksisterende ydervæg inkl. isolering + efterisolering</v>
      </c>
      <c r="C2" s="207">
        <f>IF(LEFT(Input_EksisterendeFacade)="&gt;",0,1)</f>
        <v>0</v>
      </c>
      <c r="D2" s="19"/>
    </row>
    <row r="3" spans="1:4">
      <c r="A3" s="108" t="s">
        <v>33</v>
      </c>
      <c r="B3" s="206" t="str">
        <f>Input_Facadebeklædning</f>
        <v>&gt; Vælg facadebeklædning</v>
      </c>
      <c r="C3" s="207">
        <f>IF(LEFT(Input_Facadebeklædning)="&gt;",0,1)</f>
        <v>0</v>
      </c>
      <c r="D3" s="19"/>
    </row>
    <row r="4" spans="1:4">
      <c r="A4" s="108" t="s">
        <v>36</v>
      </c>
      <c r="B4" s="206" t="str">
        <f>Input_Vindspærre</f>
        <v>&gt; Vælg vindspærre</v>
      </c>
      <c r="C4" s="207">
        <f>IF(LEFT(Input_Vindspærre)="&gt;",0,1)</f>
        <v>0</v>
      </c>
      <c r="D4" s="19"/>
    </row>
    <row r="5" spans="1:4">
      <c r="A5" s="108" t="s">
        <v>248</v>
      </c>
      <c r="B5" s="206" t="str">
        <f>Input_Isolering</f>
        <v>&gt; Vælg isolering</v>
      </c>
      <c r="C5" s="207">
        <f>IF(LEFT(Input_Isolering)="&gt;",0,1)</f>
        <v>0</v>
      </c>
      <c r="D5" s="19"/>
    </row>
    <row r="6" spans="1:4">
      <c r="A6" s="108" t="s">
        <v>387</v>
      </c>
      <c r="B6" s="206" t="str">
        <f>Input_Isoleringstykkelse</f>
        <v>Afventer</v>
      </c>
      <c r="C6" s="207">
        <f>IF(Input_Isoleringstykkelse="Afventer",0,1)</f>
        <v>0</v>
      </c>
      <c r="D6" s="19"/>
    </row>
    <row r="7" spans="1:4">
      <c r="A7" s="108" t="s">
        <v>40</v>
      </c>
      <c r="B7" s="206" t="str">
        <f>Input_Afstandsprofil</f>
        <v>&gt; Vælg afstandsprofil</v>
      </c>
      <c r="C7" s="207">
        <f>IF(LEFT(Input_Afstandsprofil)="&gt;",0,1)</f>
        <v>0</v>
      </c>
      <c r="D7" s="19"/>
    </row>
    <row r="8" spans="1:4">
      <c r="A8" s="108" t="s">
        <v>42</v>
      </c>
      <c r="B8" s="206" t="str">
        <f>Input_Skelet</f>
        <v>&gt; Vælg skelet</v>
      </c>
      <c r="C8" s="207">
        <f>IF(LEFT(Input_Skelet)="&gt;",0,1)</f>
        <v>0</v>
      </c>
      <c r="D8" s="19"/>
    </row>
    <row r="9" spans="1:4">
      <c r="A9" s="204"/>
      <c r="B9" s="11"/>
      <c r="C9" s="205"/>
      <c r="D9" s="19"/>
    </row>
    <row r="10" spans="1:4">
      <c r="A10" s="108" t="s">
        <v>388</v>
      </c>
      <c r="B10" s="108" t="s">
        <v>391</v>
      </c>
      <c r="C10" s="167" t="str">
        <f>TEXT(SUM(C2:C8),"#0")&amp;"/"&amp;TEXT(COUNTA(C2:C8),"#0")</f>
        <v>0/7</v>
      </c>
      <c r="D10" s="19"/>
    </row>
    <row r="11" spans="1:4">
      <c r="A11" s="108" t="s">
        <v>388</v>
      </c>
      <c r="B11" s="108" t="s">
        <v>390</v>
      </c>
      <c r="C11" s="208" cm="1">
        <f t="array" ref="C11">SUM(C2:C8/COUNTA(C2:C8))</f>
        <v>0</v>
      </c>
      <c r="D11" s="19"/>
    </row>
    <row r="12" spans="1:4">
      <c r="A12" s="108" t="s">
        <v>389</v>
      </c>
      <c r="B12" s="108" t="s">
        <v>543</v>
      </c>
      <c r="C12" s="209">
        <f>IF(C11=1,-1,C11)</f>
        <v>0</v>
      </c>
      <c r="D12" s="19"/>
    </row>
    <row r="13" spans="1:4">
      <c r="A13" s="19"/>
      <c r="B13" s="19"/>
      <c r="C13" s="170"/>
      <c r="D13" s="19"/>
    </row>
    <row r="14" spans="1:4">
      <c r="A14" s="19"/>
      <c r="B14" s="19"/>
      <c r="C14" s="170"/>
      <c r="D14" s="19"/>
    </row>
  </sheetData>
  <conditionalFormatting sqref="B2:B8">
    <cfRule type="containsText" dxfId="4" priority="5" operator="containsText" text="&gt;">
      <formula>NOT(ISERROR(SEARCH("&gt;",B2)))</formula>
    </cfRule>
  </conditionalFormatting>
  <conditionalFormatting sqref="B6">
    <cfRule type="containsText" dxfId="3" priority="1" operator="containsText" text="Afventer">
      <formula>NOT(ISERROR(SEARCH("Afventer",B6)))</formula>
    </cfRule>
  </conditionalFormatting>
  <conditionalFormatting sqref="C2:C8">
    <cfRule type="cellIs" dxfId="2" priority="4" operator="equal">
      <formula>0</formula>
    </cfRule>
  </conditionalFormatting>
  <conditionalFormatting sqref="C11:C12">
    <cfRule type="dataBar" priority="3">
      <dataBar>
        <cfvo type="num" val="0"/>
        <cfvo type="num" val="1"/>
        <color rgb="FF00B050"/>
      </dataBar>
      <extLst>
        <ext xmlns:x14="http://schemas.microsoft.com/office/spreadsheetml/2009/9/main" uri="{B025F937-C7B1-47D3-B67F-A62EFF666E3E}">
          <x14:id>{ACBC3DF3-22BA-49A6-9684-F877F296553C}</x14:id>
        </ext>
      </extLst>
    </cfRule>
  </conditionalFormatting>
  <conditionalFormatting sqref="C12">
    <cfRule type="cellIs" dxfId="1" priority="2" operator="equal">
      <formula>-1</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ACBC3DF3-22BA-49A6-9684-F877F296553C}">
            <x14:dataBar minLength="0" maxLength="100" gradient="0">
              <x14:cfvo type="num">
                <xm:f>0</xm:f>
              </x14:cfvo>
              <x14:cfvo type="num">
                <xm:f>1</xm:f>
              </x14:cfvo>
              <x14:negativeFillColor rgb="FFFF0000"/>
              <x14:axisColor rgb="FF000000"/>
            </x14:dataBar>
          </x14:cfRule>
          <xm:sqref>C11:C12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67D00-5F43-47EC-A6BF-40131BD342AF}">
  <sheetPr codeName="Sheet14">
    <tabColor theme="1"/>
  </sheetPr>
  <dimension ref="A1:M90"/>
  <sheetViews>
    <sheetView workbookViewId="0"/>
  </sheetViews>
  <sheetFormatPr defaultColWidth="0" defaultRowHeight="15" zeroHeight="1"/>
  <cols>
    <col min="1" max="1" width="4" customWidth="1"/>
    <col min="2" max="2" width="52.42578125" bestFit="1" customWidth="1"/>
    <col min="3" max="3" width="16.42578125" bestFit="1" customWidth="1"/>
    <col min="4" max="4" width="8.85546875" customWidth="1"/>
    <col min="5" max="11" width="8.85546875" hidden="1" customWidth="1"/>
    <col min="12" max="13" width="43.140625" hidden="1" customWidth="1"/>
    <col min="14" max="16384" width="8.85546875" hidden="1"/>
  </cols>
  <sheetData>
    <row r="1" spans="1:13" s="2" customFormat="1" ht="19.5" thickBot="1">
      <c r="B1" s="2" t="s">
        <v>229</v>
      </c>
    </row>
    <row r="2" spans="1:13" ht="15.75" thickTop="1">
      <c r="A2" s="19"/>
      <c r="B2" s="19"/>
      <c r="C2" s="19"/>
      <c r="D2" s="19"/>
    </row>
    <row r="3" spans="1:13">
      <c r="A3" s="19"/>
      <c r="B3" s="177" t="s">
        <v>378</v>
      </c>
      <c r="C3" s="108" t="s">
        <v>103</v>
      </c>
      <c r="D3" s="19"/>
    </row>
    <row r="4" spans="1:13">
      <c r="A4" s="19"/>
      <c r="B4" s="19"/>
      <c r="C4" s="19"/>
      <c r="D4" s="19"/>
    </row>
    <row r="5" spans="1:13">
      <c r="A5" s="19"/>
      <c r="B5" s="48" t="s">
        <v>33</v>
      </c>
      <c r="C5" s="48" t="s">
        <v>98</v>
      </c>
      <c r="D5" s="19"/>
    </row>
    <row r="6" spans="1:13">
      <c r="A6" s="19"/>
      <c r="B6" t="s">
        <v>230</v>
      </c>
      <c r="C6" t="s">
        <v>106</v>
      </c>
      <c r="D6" s="19"/>
      <c r="L6" s="13"/>
      <c r="M6" s="13"/>
    </row>
    <row r="7" spans="1:13">
      <c r="A7" s="19"/>
      <c r="B7" t="s">
        <v>34</v>
      </c>
      <c r="C7" t="s">
        <v>134</v>
      </c>
      <c r="D7" s="19"/>
    </row>
    <row r="8" spans="1:13">
      <c r="A8" s="19"/>
      <c r="B8" t="s">
        <v>137</v>
      </c>
      <c r="C8" t="s">
        <v>134</v>
      </c>
      <c r="D8" s="19"/>
    </row>
    <row r="9" spans="1:13">
      <c r="A9" s="19"/>
      <c r="B9" t="s">
        <v>141</v>
      </c>
      <c r="C9" t="s">
        <v>134</v>
      </c>
      <c r="D9" s="19"/>
    </row>
    <row r="10" spans="1:13">
      <c r="A10" s="19"/>
      <c r="B10" t="s">
        <v>43</v>
      </c>
      <c r="C10" t="s">
        <v>140</v>
      </c>
      <c r="D10" s="19"/>
    </row>
    <row r="11" spans="1:13">
      <c r="A11" s="19"/>
      <c r="B11" t="s">
        <v>130</v>
      </c>
      <c r="C11" t="s">
        <v>134</v>
      </c>
      <c r="D11" s="19"/>
    </row>
    <row r="12" spans="1:13">
      <c r="A12" s="19"/>
      <c r="B12" t="s">
        <v>135</v>
      </c>
      <c r="C12" t="s">
        <v>134</v>
      </c>
      <c r="D12" s="19"/>
    </row>
    <row r="13" spans="1:13">
      <c r="A13" s="19"/>
      <c r="B13" t="s">
        <v>127</v>
      </c>
      <c r="C13" t="s">
        <v>134</v>
      </c>
      <c r="D13" s="19"/>
    </row>
    <row r="14" spans="1:13">
      <c r="A14" s="19"/>
      <c r="B14" s="19"/>
      <c r="C14" s="19"/>
      <c r="D14" s="19"/>
    </row>
    <row r="15" spans="1:13">
      <c r="A15" s="19"/>
      <c r="B15" s="48" t="s">
        <v>36</v>
      </c>
      <c r="C15" s="48" t="s">
        <v>98</v>
      </c>
      <c r="D15" s="19"/>
      <c r="L15" s="13"/>
      <c r="M15" s="13"/>
    </row>
    <row r="16" spans="1:13">
      <c r="A16" s="19"/>
      <c r="B16" t="s">
        <v>231</v>
      </c>
      <c r="C16" t="s">
        <v>106</v>
      </c>
      <c r="D16" s="19"/>
    </row>
    <row r="17" spans="1:13">
      <c r="A17" s="19"/>
      <c r="B17" t="s">
        <v>178</v>
      </c>
      <c r="C17" t="s">
        <v>232</v>
      </c>
      <c r="D17" s="19"/>
    </row>
    <row r="18" spans="1:13">
      <c r="A18" s="19"/>
      <c r="B18" t="s">
        <v>180</v>
      </c>
      <c r="C18" t="s">
        <v>232</v>
      </c>
      <c r="D18" s="19"/>
    </row>
    <row r="19" spans="1:13">
      <c r="A19" s="19"/>
      <c r="B19" t="s">
        <v>183</v>
      </c>
      <c r="C19" t="s">
        <v>101</v>
      </c>
      <c r="D19" s="19"/>
    </row>
    <row r="20" spans="1:13">
      <c r="A20" s="19"/>
      <c r="B20" t="s">
        <v>37</v>
      </c>
      <c r="C20" t="s">
        <v>232</v>
      </c>
      <c r="D20" s="19"/>
    </row>
    <row r="21" spans="1:13">
      <c r="A21" s="19"/>
      <c r="B21" t="s">
        <v>186</v>
      </c>
      <c r="C21" t="s">
        <v>232</v>
      </c>
      <c r="D21" s="19"/>
    </row>
    <row r="22" spans="1:13">
      <c r="A22" s="19"/>
      <c r="B22" t="s">
        <v>188</v>
      </c>
      <c r="C22" t="s">
        <v>232</v>
      </c>
      <c r="D22" s="19"/>
    </row>
    <row r="23" spans="1:13">
      <c r="A23" s="19"/>
      <c r="B23" t="s">
        <v>189</v>
      </c>
      <c r="C23" t="s">
        <v>232</v>
      </c>
      <c r="D23" s="19"/>
    </row>
    <row r="24" spans="1:13">
      <c r="A24" s="19"/>
      <c r="B24" s="19"/>
      <c r="C24" s="19"/>
      <c r="D24" s="19"/>
    </row>
    <row r="25" spans="1:13">
      <c r="A25" s="19"/>
      <c r="B25" s="48" t="s">
        <v>248</v>
      </c>
      <c r="C25" s="48" t="s">
        <v>98</v>
      </c>
      <c r="D25" s="19"/>
      <c r="L25" s="13"/>
      <c r="M25" s="13"/>
    </row>
    <row r="26" spans="1:13">
      <c r="A26" s="19"/>
      <c r="B26" t="s">
        <v>233</v>
      </c>
      <c r="C26" t="s">
        <v>106</v>
      </c>
      <c r="D26" s="19"/>
    </row>
    <row r="27" spans="1:13">
      <c r="A27" s="19"/>
      <c r="B27" t="s">
        <v>234</v>
      </c>
      <c r="C27" t="s">
        <v>232</v>
      </c>
      <c r="D27" s="19"/>
    </row>
    <row r="28" spans="1:13">
      <c r="A28" s="19"/>
      <c r="B28" t="s">
        <v>235</v>
      </c>
      <c r="C28" t="s">
        <v>232</v>
      </c>
      <c r="D28" s="19"/>
    </row>
    <row r="29" spans="1:13">
      <c r="A29" s="19"/>
      <c r="B29" t="s">
        <v>219</v>
      </c>
      <c r="C29" t="s">
        <v>232</v>
      </c>
      <c r="D29" s="19"/>
    </row>
    <row r="30" spans="1:13">
      <c r="A30" s="19"/>
      <c r="B30" t="s">
        <v>220</v>
      </c>
      <c r="C30" t="s">
        <v>232</v>
      </c>
      <c r="D30" s="19"/>
    </row>
    <row r="31" spans="1:13">
      <c r="A31" s="19"/>
      <c r="B31" t="s">
        <v>236</v>
      </c>
      <c r="C31" t="s">
        <v>232</v>
      </c>
      <c r="D31" s="19"/>
    </row>
    <row r="32" spans="1:13">
      <c r="A32" s="19"/>
      <c r="B32" t="s">
        <v>38</v>
      </c>
      <c r="C32" t="s">
        <v>232</v>
      </c>
      <c r="D32" s="19"/>
    </row>
    <row r="33" spans="1:13">
      <c r="A33" s="19"/>
      <c r="B33" s="19"/>
      <c r="C33" s="19"/>
      <c r="D33" s="19"/>
    </row>
    <row r="34" spans="1:13">
      <c r="A34" s="19"/>
      <c r="B34" t="s">
        <v>237</v>
      </c>
      <c r="C34" t="s">
        <v>238</v>
      </c>
      <c r="D34" s="19"/>
      <c r="L34" s="13"/>
      <c r="M34" s="13"/>
    </row>
    <row r="35" spans="1:13">
      <c r="A35" s="19"/>
      <c r="B35" t="s">
        <v>239</v>
      </c>
      <c r="C35" s="9" t="s">
        <v>106</v>
      </c>
      <c r="D35" s="19"/>
    </row>
    <row r="36" spans="1:13">
      <c r="A36" s="19"/>
      <c r="B36" s="12" t="s">
        <v>39</v>
      </c>
      <c r="C36" s="9" t="s">
        <v>240</v>
      </c>
      <c r="D36" s="19"/>
    </row>
    <row r="37" spans="1:13">
      <c r="A37" s="19"/>
      <c r="B37" s="12" t="s">
        <v>241</v>
      </c>
      <c r="C37" s="9" t="s">
        <v>240</v>
      </c>
      <c r="D37" s="19"/>
    </row>
    <row r="38" spans="1:13">
      <c r="A38" s="19"/>
      <c r="B38" s="12" t="s">
        <v>242</v>
      </c>
      <c r="C38" s="9" t="s">
        <v>240</v>
      </c>
      <c r="D38" s="19"/>
    </row>
    <row r="39" spans="1:13">
      <c r="A39" s="19"/>
      <c r="C39" s="19"/>
      <c r="D39" s="19"/>
    </row>
    <row r="40" spans="1:13">
      <c r="A40" s="19"/>
      <c r="B40" t="s">
        <v>363</v>
      </c>
      <c r="C40" s="19"/>
      <c r="D40" s="19"/>
    </row>
    <row r="41" spans="1:13">
      <c r="A41" s="19"/>
      <c r="B41" t="s">
        <v>39</v>
      </c>
      <c r="C41" s="19"/>
      <c r="D41" s="19"/>
    </row>
    <row r="42" spans="1:13">
      <c r="A42" s="19"/>
      <c r="B42" t="s">
        <v>124</v>
      </c>
      <c r="C42" s="19"/>
      <c r="D42" s="19"/>
    </row>
    <row r="43" spans="1:13">
      <c r="A43" s="19"/>
      <c r="B43" s="19"/>
      <c r="C43" s="19"/>
      <c r="D43" s="19"/>
    </row>
    <row r="44" spans="1:13">
      <c r="A44" s="19"/>
      <c r="B44" s="48" t="s">
        <v>40</v>
      </c>
      <c r="C44" s="48" t="s">
        <v>98</v>
      </c>
      <c r="D44" s="19"/>
      <c r="L44" s="13"/>
      <c r="M44" s="13"/>
    </row>
    <row r="45" spans="1:13">
      <c r="A45" s="19"/>
      <c r="B45" t="s">
        <v>243</v>
      </c>
      <c r="C45" t="s">
        <v>106</v>
      </c>
      <c r="D45" s="19"/>
    </row>
    <row r="46" spans="1:13">
      <c r="A46" s="19"/>
      <c r="B46" t="s">
        <v>135</v>
      </c>
      <c r="C46" t="s">
        <v>101</v>
      </c>
      <c r="D46" s="19"/>
    </row>
    <row r="47" spans="1:13">
      <c r="A47" s="19"/>
      <c r="B47" t="s">
        <v>41</v>
      </c>
      <c r="C47" t="s">
        <v>232</v>
      </c>
      <c r="D47" s="19"/>
    </row>
    <row r="48" spans="1:13">
      <c r="A48" s="19"/>
      <c r="B48" t="s">
        <v>43</v>
      </c>
      <c r="C48" t="s">
        <v>232</v>
      </c>
      <c r="D48" s="19"/>
    </row>
    <row r="49" spans="1:13">
      <c r="A49" s="19"/>
      <c r="B49" s="19"/>
      <c r="C49" s="19"/>
      <c r="D49" s="19"/>
    </row>
    <row r="50" spans="1:13">
      <c r="A50" s="19"/>
      <c r="B50" s="48" t="s">
        <v>42</v>
      </c>
      <c r="C50" s="48" t="s">
        <v>98</v>
      </c>
      <c r="D50" s="19"/>
      <c r="L50" s="13"/>
      <c r="M50" s="13"/>
    </row>
    <row r="51" spans="1:13">
      <c r="A51" s="19"/>
      <c r="B51" t="s">
        <v>244</v>
      </c>
      <c r="C51" t="s">
        <v>106</v>
      </c>
      <c r="D51" s="19"/>
    </row>
    <row r="52" spans="1:13">
      <c r="A52" s="19"/>
      <c r="B52" t="s">
        <v>135</v>
      </c>
      <c r="C52" t="s">
        <v>101</v>
      </c>
      <c r="D52" s="19"/>
    </row>
    <row r="53" spans="1:13">
      <c r="A53" s="19"/>
      <c r="B53" t="s">
        <v>43</v>
      </c>
      <c r="C53" t="s">
        <v>232</v>
      </c>
      <c r="D53" s="19"/>
    </row>
    <row r="54" spans="1:13">
      <c r="A54" s="19"/>
      <c r="B54" t="s">
        <v>41</v>
      </c>
      <c r="C54" t="s">
        <v>101</v>
      </c>
      <c r="D54" s="19"/>
    </row>
    <row r="55" spans="1:13">
      <c r="A55" s="19"/>
      <c r="B55" s="19"/>
      <c r="C55" s="19"/>
      <c r="D55" s="19"/>
    </row>
    <row r="56" spans="1:13">
      <c r="A56" s="19"/>
      <c r="B56" t="s">
        <v>245</v>
      </c>
      <c r="C56" t="s">
        <v>98</v>
      </c>
      <c r="D56" s="19"/>
      <c r="L56" s="13"/>
      <c r="M56" s="13"/>
    </row>
    <row r="57" spans="1:13">
      <c r="A57" s="19"/>
      <c r="B57" s="8">
        <v>20</v>
      </c>
      <c r="C57" s="8" t="s">
        <v>55</v>
      </c>
      <c r="D57" s="19"/>
    </row>
    <row r="58" spans="1:13">
      <c r="A58" s="19"/>
      <c r="B58" s="8">
        <v>30</v>
      </c>
      <c r="C58" s="8" t="s">
        <v>55</v>
      </c>
      <c r="D58" s="19"/>
    </row>
    <row r="59" spans="1:13">
      <c r="A59" s="19"/>
      <c r="B59" s="8">
        <v>50</v>
      </c>
      <c r="C59" s="8" t="s">
        <v>55</v>
      </c>
      <c r="D59" s="19"/>
    </row>
    <row r="60" spans="1:13">
      <c r="A60" s="19"/>
      <c r="B60" s="8">
        <v>80</v>
      </c>
      <c r="C60" s="8" t="s">
        <v>55</v>
      </c>
      <c r="D60" s="19"/>
    </row>
    <row r="61" spans="1:13">
      <c r="A61" s="19"/>
      <c r="B61" s="19"/>
      <c r="C61" s="19"/>
      <c r="D61" s="19"/>
    </row>
    <row r="62" spans="1:13">
      <c r="A62" s="19"/>
      <c r="B62" t="s">
        <v>246</v>
      </c>
      <c r="C62" s="19"/>
      <c r="D62" s="19"/>
    </row>
    <row r="63" spans="1:13">
      <c r="A63" s="19"/>
      <c r="B63" s="19" t="s">
        <v>538</v>
      </c>
      <c r="C63" s="19"/>
      <c r="D63" s="19"/>
    </row>
    <row r="64" spans="1:13">
      <c r="A64" s="19"/>
      <c r="B64" t="s">
        <v>534</v>
      </c>
      <c r="C64" s="19"/>
      <c r="D64" s="19"/>
    </row>
    <row r="65" spans="1:4">
      <c r="A65" s="19"/>
      <c r="B65" t="s">
        <v>522</v>
      </c>
      <c r="C65" s="19"/>
      <c r="D65" s="19"/>
    </row>
    <row r="66" spans="1:4">
      <c r="A66" s="19"/>
      <c r="B66" t="s">
        <v>523</v>
      </c>
      <c r="C66" s="19"/>
      <c r="D66" s="19"/>
    </row>
    <row r="67" spans="1:4">
      <c r="A67" s="19"/>
      <c r="B67" t="s">
        <v>524</v>
      </c>
      <c r="C67" s="19"/>
      <c r="D67" s="19"/>
    </row>
    <row r="68" spans="1:4">
      <c r="A68" s="19"/>
      <c r="B68" t="s">
        <v>535</v>
      </c>
      <c r="C68" s="19"/>
      <c r="D68" s="19"/>
    </row>
    <row r="69" spans="1:4">
      <c r="A69" s="19"/>
      <c r="B69" t="s">
        <v>525</v>
      </c>
      <c r="C69" s="19"/>
      <c r="D69" s="19"/>
    </row>
    <row r="70" spans="1:4">
      <c r="A70" s="19"/>
      <c r="B70" t="s">
        <v>526</v>
      </c>
      <c r="C70" s="19"/>
      <c r="D70" s="19"/>
    </row>
    <row r="71" spans="1:4">
      <c r="A71" s="19"/>
      <c r="B71" t="s">
        <v>527</v>
      </c>
      <c r="C71" s="19"/>
      <c r="D71" s="19"/>
    </row>
    <row r="72" spans="1:4">
      <c r="A72" s="19"/>
      <c r="B72" t="s">
        <v>536</v>
      </c>
      <c r="C72" s="19"/>
      <c r="D72" s="19"/>
    </row>
    <row r="73" spans="1:4">
      <c r="A73" s="19"/>
      <c r="B73" t="s">
        <v>528</v>
      </c>
      <c r="C73" s="19"/>
      <c r="D73" s="19"/>
    </row>
    <row r="74" spans="1:4">
      <c r="A74" s="19"/>
      <c r="B74" t="s">
        <v>529</v>
      </c>
      <c r="C74" s="19"/>
      <c r="D74" s="19"/>
    </row>
    <row r="75" spans="1:4">
      <c r="A75" s="19"/>
      <c r="B75" t="s">
        <v>530</v>
      </c>
      <c r="C75" s="19"/>
      <c r="D75" s="19"/>
    </row>
    <row r="76" spans="1:4">
      <c r="A76" s="19"/>
      <c r="B76" t="s">
        <v>537</v>
      </c>
      <c r="C76" s="19"/>
      <c r="D76" s="19"/>
    </row>
    <row r="77" spans="1:4">
      <c r="A77" s="19"/>
      <c r="B77" t="s">
        <v>531</v>
      </c>
      <c r="C77" s="19"/>
      <c r="D77" s="19"/>
    </row>
    <row r="78" spans="1:4">
      <c r="A78" s="19"/>
      <c r="B78" t="s">
        <v>532</v>
      </c>
      <c r="C78" s="19"/>
      <c r="D78" s="19"/>
    </row>
    <row r="79" spans="1:4">
      <c r="A79" s="19"/>
      <c r="B79" t="s">
        <v>533</v>
      </c>
      <c r="C79" s="19"/>
      <c r="D79" s="19"/>
    </row>
    <row r="80" spans="1:4">
      <c r="A80" s="19"/>
      <c r="B80" s="19"/>
      <c r="C80" s="19"/>
      <c r="D80" s="19"/>
    </row>
    <row r="81" spans="1:4">
      <c r="A81" s="19"/>
      <c r="B81" t="s">
        <v>54</v>
      </c>
      <c r="C81" s="19"/>
      <c r="D81" s="19"/>
    </row>
    <row r="82" spans="1:4">
      <c r="A82" s="19"/>
      <c r="B82" s="143">
        <v>2024</v>
      </c>
      <c r="C82" s="19"/>
      <c r="D82" s="19"/>
    </row>
    <row r="83" spans="1:4">
      <c r="A83" s="19"/>
      <c r="B83" s="143">
        <v>2025</v>
      </c>
      <c r="C83" s="19"/>
      <c r="D83" s="19"/>
    </row>
    <row r="84" spans="1:4">
      <c r="A84" s="19"/>
      <c r="B84" s="143">
        <v>2026</v>
      </c>
      <c r="C84" s="19"/>
      <c r="D84" s="19"/>
    </row>
    <row r="85" spans="1:4">
      <c r="A85" s="19"/>
      <c r="B85" s="143">
        <v>2027</v>
      </c>
      <c r="C85" s="19"/>
      <c r="D85" s="19"/>
    </row>
    <row r="86" spans="1:4">
      <c r="A86" s="19"/>
      <c r="B86" s="143">
        <v>2028</v>
      </c>
      <c r="C86" s="19"/>
      <c r="D86" s="19"/>
    </row>
    <row r="87" spans="1:4">
      <c r="A87" s="19"/>
      <c r="B87" s="143">
        <v>2029</v>
      </c>
      <c r="C87" s="19"/>
      <c r="D87" s="19"/>
    </row>
    <row r="88" spans="1:4">
      <c r="A88" s="19"/>
      <c r="B88" s="143">
        <v>2030</v>
      </c>
      <c r="C88" s="19"/>
      <c r="D88" s="19"/>
    </row>
    <row r="89" spans="1:4">
      <c r="A89" s="19"/>
      <c r="B89" s="19"/>
      <c r="C89" s="19"/>
      <c r="D89" s="19"/>
    </row>
    <row r="90" spans="1:4">
      <c r="A90" s="19"/>
      <c r="B90" s="19"/>
      <c r="C90" s="19"/>
      <c r="D90" s="19"/>
    </row>
  </sheetData>
  <phoneticPr fontId="17" type="noConversion"/>
  <conditionalFormatting sqref="B22:C22">
    <cfRule type="duplicateValues" dxfId="0" priority="31"/>
  </conditionalFormatting>
  <pageMargins left="0.7" right="0.7" top="0.75" bottom="0.75"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88479-88E6-464B-8C60-C51FBA9DD8EC}">
  <sheetPr>
    <tabColor rgb="FF0F5641"/>
  </sheetPr>
  <dimension ref="A1:E27"/>
  <sheetViews>
    <sheetView tabSelected="1" zoomScaleNormal="100" workbookViewId="0">
      <selection activeCell="B1" sqref="B1:C1"/>
    </sheetView>
  </sheetViews>
  <sheetFormatPr defaultColWidth="0" defaultRowHeight="15.75" zeroHeight="1"/>
  <cols>
    <col min="1" max="1" width="4" style="79" customWidth="1"/>
    <col min="2" max="2" width="3.85546875" style="79" customWidth="1"/>
    <col min="3" max="3" width="110.42578125" style="79" customWidth="1"/>
    <col min="4" max="4" width="4" style="18" customWidth="1"/>
    <col min="5" max="5" width="41.42578125" style="18" hidden="1" customWidth="1"/>
    <col min="6" max="16384" width="11.85546875" style="18" hidden="1"/>
  </cols>
  <sheetData>
    <row r="1" spans="1:3" ht="30" customHeight="1">
      <c r="A1" s="74"/>
      <c r="B1" s="416" t="s">
        <v>8</v>
      </c>
      <c r="C1" s="416"/>
    </row>
    <row r="2" spans="1:3">
      <c r="A2" s="75"/>
      <c r="B2" s="75"/>
      <c r="C2" s="75"/>
    </row>
    <row r="3" spans="1:3" ht="18.75">
      <c r="A3" s="76"/>
      <c r="B3" s="417" t="s">
        <v>9</v>
      </c>
      <c r="C3" s="417"/>
    </row>
    <row r="4" spans="1:3">
      <c r="A4" s="76"/>
      <c r="B4" s="76"/>
      <c r="C4" s="75"/>
    </row>
    <row r="5" spans="1:3" ht="51" customHeight="1">
      <c r="A5" s="75"/>
      <c r="B5" s="418" t="s">
        <v>10</v>
      </c>
      <c r="C5" s="418"/>
    </row>
    <row r="6" spans="1:3">
      <c r="A6" s="75"/>
      <c r="B6" s="75"/>
      <c r="C6" s="75"/>
    </row>
    <row r="7" spans="1:3" ht="18.75">
      <c r="A7" s="75"/>
      <c r="B7" s="417" t="s">
        <v>11</v>
      </c>
      <c r="C7" s="417"/>
    </row>
    <row r="8" spans="1:3">
      <c r="A8" s="75"/>
      <c r="B8" s="75"/>
      <c r="C8" s="75"/>
    </row>
    <row r="9" spans="1:3" ht="131.1" customHeight="1">
      <c r="A9" s="75"/>
      <c r="B9" s="418" t="s">
        <v>12</v>
      </c>
      <c r="C9" s="418"/>
    </row>
    <row r="10" spans="1:3">
      <c r="A10" s="75"/>
      <c r="B10" s="75"/>
      <c r="C10" s="75"/>
    </row>
    <row r="11" spans="1:3" ht="18.75">
      <c r="A11" s="75"/>
      <c r="B11" s="417" t="s">
        <v>13</v>
      </c>
      <c r="C11" s="417"/>
    </row>
    <row r="12" spans="1:3">
      <c r="A12" s="75"/>
      <c r="B12" s="75"/>
      <c r="C12" s="75"/>
    </row>
    <row r="13" spans="1:3" ht="83.25" customHeight="1">
      <c r="A13" s="75"/>
      <c r="B13" s="421" t="s">
        <v>14</v>
      </c>
      <c r="C13" s="421"/>
    </row>
    <row r="14" spans="1:3">
      <c r="A14" s="75"/>
      <c r="B14" s="78"/>
    </row>
    <row r="15" spans="1:3" ht="18.75">
      <c r="A15" s="75"/>
      <c r="B15" s="417" t="s">
        <v>16</v>
      </c>
      <c r="C15" s="417"/>
    </row>
    <row r="16" spans="1:3">
      <c r="A16" s="75"/>
      <c r="B16" s="422"/>
      <c r="C16" s="422"/>
    </row>
    <row r="17" spans="1:3" ht="33.950000000000003" customHeight="1">
      <c r="A17" s="75"/>
      <c r="B17" s="77" t="s">
        <v>15</v>
      </c>
      <c r="C17" s="86" t="s">
        <v>17</v>
      </c>
    </row>
    <row r="18" spans="1:3" ht="33.950000000000003" customHeight="1">
      <c r="A18" s="75"/>
      <c r="B18" s="77" t="s">
        <v>15</v>
      </c>
      <c r="C18" s="86" t="s">
        <v>18</v>
      </c>
    </row>
    <row r="19" spans="1:3" ht="50.25" customHeight="1">
      <c r="A19" s="75"/>
      <c r="B19" s="77" t="s">
        <v>15</v>
      </c>
      <c r="C19" s="86" t="s">
        <v>19</v>
      </c>
    </row>
    <row r="20" spans="1:3" ht="63">
      <c r="A20" s="75"/>
      <c r="B20" s="77" t="s">
        <v>15</v>
      </c>
      <c r="C20" s="86" t="s">
        <v>20</v>
      </c>
    </row>
    <row r="21" spans="1:3" ht="21.6" customHeight="1">
      <c r="A21" s="75"/>
      <c r="B21" s="77" t="s">
        <v>15</v>
      </c>
      <c r="C21" s="86" t="s">
        <v>21</v>
      </c>
    </row>
    <row r="22" spans="1:3" ht="33.950000000000003" customHeight="1">
      <c r="A22" s="75"/>
      <c r="B22" s="77" t="s">
        <v>15</v>
      </c>
      <c r="C22" s="86" t="s">
        <v>22</v>
      </c>
    </row>
    <row r="23" spans="1:3" ht="21.6" customHeight="1">
      <c r="A23" s="75"/>
      <c r="B23" s="77" t="s">
        <v>15</v>
      </c>
      <c r="C23" s="87" t="s">
        <v>253</v>
      </c>
    </row>
    <row r="24" spans="1:3" ht="32.25" customHeight="1">
      <c r="A24" s="75"/>
      <c r="B24" s="77" t="s">
        <v>15</v>
      </c>
      <c r="C24" s="88" t="s">
        <v>257</v>
      </c>
    </row>
    <row r="25" spans="1:3" ht="17.25" customHeight="1">
      <c r="A25" s="75"/>
      <c r="B25" s="75"/>
      <c r="C25" s="75"/>
    </row>
    <row r="26" spans="1:3" ht="18.600000000000001" customHeight="1">
      <c r="B26" s="419" t="str">
        <f>HYPERLINK("#Beregner!A1","Gå til beregneren ➝")</f>
        <v>Gå til beregneren ➝</v>
      </c>
      <c r="C26" s="420"/>
    </row>
    <row r="27" spans="1:3" ht="17.25" customHeight="1">
      <c r="A27" s="75"/>
      <c r="B27" s="75"/>
      <c r="C27" s="75"/>
    </row>
  </sheetData>
  <sheetProtection algorithmName="SHA-512" hashValue="oBoyXndEt/hOiMFqIP15j2bOohdxIWSXaNvbQNvvBS3nsUmM10t03qdtedtQcwHvbcbfJqHkifKXuhmzezRI/A==" saltValue="ktMOhpjCqE6FpT0CBoiSfA==" spinCount="100000" sheet="1" objects="1" scenarios="1"/>
  <mergeCells count="10">
    <mergeCell ref="B26:C26"/>
    <mergeCell ref="B13:C13"/>
    <mergeCell ref="B15:C15"/>
    <mergeCell ref="B16:C16"/>
    <mergeCell ref="B11:C11"/>
    <mergeCell ref="B1:C1"/>
    <mergeCell ref="B3:C3"/>
    <mergeCell ref="B5:C5"/>
    <mergeCell ref="B7:C7"/>
    <mergeCell ref="B9:C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692F-5F6F-4109-9EC7-26B4F32C8E8B}">
  <sheetPr codeName="Sheet3">
    <tabColor rgb="FF0DC684"/>
  </sheetPr>
  <dimension ref="A1:AK75"/>
  <sheetViews>
    <sheetView zoomScaleNormal="100" workbookViewId="0">
      <selection activeCell="C13" sqref="C13:J13"/>
    </sheetView>
  </sheetViews>
  <sheetFormatPr defaultColWidth="0" defaultRowHeight="14.45" customHeight="1" zeroHeight="1"/>
  <cols>
    <col min="1" max="1" width="2.42578125" style="21" customWidth="1"/>
    <col min="2" max="2" width="1.7109375" style="28" customWidth="1"/>
    <col min="3" max="3" width="19.42578125" style="21" bestFit="1" customWidth="1"/>
    <col min="4" max="4" width="6.7109375" style="22" bestFit="1" customWidth="1"/>
    <col min="5" max="5" width="8.42578125" style="23" bestFit="1" customWidth="1"/>
    <col min="6" max="6" width="1.7109375" style="23" customWidth="1"/>
    <col min="7" max="7" width="2.7109375" style="23" customWidth="1"/>
    <col min="8" max="8" width="1.85546875" style="23" customWidth="1"/>
    <col min="9" max="9" width="10.42578125" style="21" customWidth="1"/>
    <col min="10" max="10" width="8.7109375" style="21" bestFit="1" customWidth="1"/>
    <col min="11" max="11" width="8.7109375" style="21" customWidth="1"/>
    <col min="12" max="12" width="1.7109375" style="21" customWidth="1"/>
    <col min="13" max="13" width="2.42578125" style="21" customWidth="1"/>
    <col min="14" max="14" width="3.42578125" style="21" customWidth="1"/>
    <col min="15" max="18" width="8.85546875" style="21" customWidth="1"/>
    <col min="19" max="19" width="22.42578125" style="21" customWidth="1"/>
    <col min="20" max="20" width="19.140625" style="21" customWidth="1"/>
    <col min="21" max="21" width="7.42578125" style="21" customWidth="1"/>
    <col min="22" max="22" width="4.140625" style="21" customWidth="1"/>
    <col min="23" max="24" width="8.85546875" style="21" customWidth="1"/>
    <col min="25" max="25" width="3.85546875" style="21" customWidth="1"/>
    <col min="26" max="27" width="8.85546875" style="21" customWidth="1"/>
    <col min="28" max="28" width="8.85546875" style="21" bestFit="1" customWidth="1"/>
    <col min="29" max="29" width="2.42578125" style="21" customWidth="1"/>
    <col min="30" max="30" width="2.42578125" style="351" customWidth="1"/>
    <col min="31" max="31" width="3.42578125" style="351" customWidth="1"/>
    <col min="32" max="32" width="30.85546875" style="351" customWidth="1"/>
    <col min="33" max="34" width="15.85546875" style="351" customWidth="1"/>
    <col min="35" max="35" width="12.7109375" style="351" customWidth="1"/>
    <col min="36" max="36" width="3.42578125" style="351" customWidth="1"/>
    <col min="37" max="37" width="4.140625" style="351" customWidth="1"/>
    <col min="38" max="16384" width="8.85546875" style="21" hidden="1"/>
  </cols>
  <sheetData>
    <row r="1" spans="2:36" ht="11.45" customHeight="1"/>
    <row r="2" spans="2:36" s="20" customFormat="1" ht="24.75" customHeight="1">
      <c r="B2" s="29"/>
      <c r="C2" s="444" t="s">
        <v>23</v>
      </c>
      <c r="D2" s="444"/>
      <c r="E2" s="444"/>
      <c r="F2" s="444"/>
      <c r="G2" s="444"/>
      <c r="H2" s="444"/>
      <c r="I2" s="444"/>
      <c r="J2" s="444"/>
      <c r="K2" s="444"/>
      <c r="L2" s="54"/>
      <c r="M2" s="51"/>
      <c r="N2" s="51"/>
      <c r="O2" s="443" t="s">
        <v>392</v>
      </c>
      <c r="P2" s="443"/>
      <c r="Q2" s="443"/>
      <c r="R2" s="443"/>
      <c r="S2" s="443"/>
      <c r="T2" s="443"/>
      <c r="U2" s="443"/>
      <c r="V2" s="443"/>
      <c r="W2" s="443"/>
      <c r="X2" s="443"/>
      <c r="Y2" s="443"/>
      <c r="Z2" s="443"/>
      <c r="AA2" s="443"/>
      <c r="AB2" s="443"/>
      <c r="AC2" s="52"/>
      <c r="AD2" s="352"/>
      <c r="AE2" s="353"/>
      <c r="AF2" s="353" t="s">
        <v>559</v>
      </c>
      <c r="AG2" s="353"/>
      <c r="AH2" s="353"/>
      <c r="AI2" s="353"/>
      <c r="AJ2" s="354"/>
    </row>
    <row r="3" spans="2:36" ht="15" customHeight="1">
      <c r="C3" s="55"/>
      <c r="D3" s="56"/>
      <c r="E3" s="57"/>
      <c r="F3" s="57"/>
      <c r="G3" s="57"/>
      <c r="H3" s="57"/>
      <c r="I3" s="55"/>
      <c r="J3" s="55"/>
      <c r="K3" s="55"/>
      <c r="L3" s="58"/>
    </row>
    <row r="4" spans="2:36" ht="18.75">
      <c r="B4" s="32"/>
      <c r="C4" s="440" t="s">
        <v>24</v>
      </c>
      <c r="D4" s="440"/>
      <c r="E4" s="440"/>
      <c r="F4" s="440"/>
      <c r="G4" s="440"/>
      <c r="H4" s="440"/>
      <c r="I4" s="440"/>
      <c r="J4" s="440"/>
      <c r="K4" s="440"/>
      <c r="L4" s="441"/>
      <c r="N4" s="130"/>
      <c r="O4" s="438" t="s">
        <v>25</v>
      </c>
      <c r="P4" s="438"/>
      <c r="Q4" s="438"/>
      <c r="R4" s="438"/>
      <c r="S4" s="210" t="str">
        <f>IF(Check_Færdighedsgrad&lt;1,"Afventer indtastning:","")</f>
        <v>Afventer indtastning:</v>
      </c>
      <c r="T4" s="131">
        <f>Check_Fremskridtsvisning</f>
        <v>0</v>
      </c>
      <c r="U4" s="132"/>
      <c r="V4" s="438" t="s">
        <v>26</v>
      </c>
      <c r="W4" s="438"/>
      <c r="X4" s="438"/>
      <c r="Y4" s="438"/>
      <c r="Z4" s="438"/>
      <c r="AA4" s="438"/>
      <c r="AB4" s="438"/>
      <c r="AC4" s="439"/>
      <c r="AE4" s="355"/>
      <c r="AF4" s="426" t="str">
        <f>"Klimapåvirkning efter "&amp;Input_Tidshorisont&amp;" år"</f>
        <v>Klimapåvirkning efter 50 år</v>
      </c>
      <c r="AG4" s="426"/>
      <c r="AH4" s="426"/>
      <c r="AI4" s="426"/>
      <c r="AJ4" s="350"/>
    </row>
    <row r="5" spans="2:36" ht="15">
      <c r="B5" s="25"/>
      <c r="C5" s="456" t="s">
        <v>251</v>
      </c>
      <c r="D5" s="456"/>
      <c r="E5" s="456"/>
      <c r="F5" s="456"/>
      <c r="G5" s="456"/>
      <c r="H5" s="456"/>
      <c r="I5" s="456"/>
      <c r="J5" s="456"/>
      <c r="K5" s="456"/>
      <c r="L5" s="457"/>
      <c r="N5" s="35"/>
      <c r="O5" s="36"/>
      <c r="P5" s="36"/>
      <c r="Q5" s="36"/>
      <c r="R5" s="36"/>
      <c r="S5" s="36"/>
      <c r="T5" s="36"/>
      <c r="U5" s="36"/>
      <c r="V5" s="36"/>
      <c r="W5" s="36"/>
      <c r="X5" s="36"/>
      <c r="Y5" s="36"/>
      <c r="Z5" s="36"/>
      <c r="AA5" s="36"/>
      <c r="AB5" s="36"/>
      <c r="AC5" s="37"/>
      <c r="AE5" s="356"/>
      <c r="AF5" s="357"/>
      <c r="AG5" s="357"/>
      <c r="AH5" s="357"/>
      <c r="AI5" s="357"/>
      <c r="AJ5" s="358"/>
    </row>
    <row r="6" spans="2:36" ht="14.45" customHeight="1">
      <c r="B6" s="26"/>
      <c r="C6" s="425"/>
      <c r="D6" s="425"/>
      <c r="E6" s="425"/>
      <c r="F6" s="425"/>
      <c r="G6" s="425"/>
      <c r="H6" s="425"/>
      <c r="I6" s="425"/>
      <c r="J6" s="425"/>
      <c r="K6" s="425"/>
      <c r="L6" s="458"/>
      <c r="N6" s="35"/>
      <c r="O6" s="36"/>
      <c r="P6" s="36"/>
      <c r="Q6" s="36"/>
      <c r="R6" s="36"/>
      <c r="S6" s="36"/>
      <c r="T6" s="36"/>
      <c r="U6" s="36"/>
      <c r="V6" s="211"/>
      <c r="W6" s="211"/>
      <c r="X6" s="211"/>
      <c r="Y6" s="211"/>
      <c r="Z6" s="211"/>
      <c r="AA6" s="211"/>
      <c r="AB6" s="211"/>
      <c r="AC6" s="37"/>
      <c r="AE6" s="359"/>
      <c r="AF6" s="368" t="s">
        <v>550</v>
      </c>
      <c r="AG6" s="345" t="s">
        <v>548</v>
      </c>
      <c r="AH6" s="346" t="s">
        <v>547</v>
      </c>
      <c r="AI6" s="349" t="s">
        <v>98</v>
      </c>
      <c r="AJ6" s="360"/>
    </row>
    <row r="7" spans="2:36" ht="15.75">
      <c r="B7" s="26"/>
      <c r="C7" s="459"/>
      <c r="D7" s="459"/>
      <c r="E7" s="459"/>
      <c r="F7" s="459"/>
      <c r="G7" s="459"/>
      <c r="H7" s="459"/>
      <c r="I7" s="459"/>
      <c r="J7" s="459"/>
      <c r="K7" s="459"/>
      <c r="L7" s="458"/>
      <c r="N7" s="35"/>
      <c r="O7" s="36"/>
      <c r="P7" s="36"/>
      <c r="Q7" s="36"/>
      <c r="R7" s="36"/>
      <c r="S7" s="36"/>
      <c r="T7" s="36"/>
      <c r="U7" s="36"/>
      <c r="V7" s="211"/>
      <c r="W7" s="211"/>
      <c r="X7" s="211"/>
      <c r="Y7" s="211"/>
      <c r="Z7" s="211"/>
      <c r="AA7" s="211"/>
      <c r="AB7" s="211"/>
      <c r="AC7" s="37"/>
      <c r="AE7" s="359"/>
      <c r="AF7" s="386" t="s">
        <v>552</v>
      </c>
      <c r="AG7" s="392">
        <v>0</v>
      </c>
      <c r="AH7" s="395" t="str">
        <f>INDEX(Tidstabel[Materialer_Total],MATCH(Input_Tidshorisont,Tidstabel[År],0))</f>
        <v>.</v>
      </c>
      <c r="AI7" s="387" t="s">
        <v>551</v>
      </c>
      <c r="AJ7" s="360"/>
    </row>
    <row r="8" spans="2:36" ht="15.75">
      <c r="B8" s="27"/>
      <c r="C8" s="460"/>
      <c r="D8" s="460"/>
      <c r="E8" s="460"/>
      <c r="F8" s="460"/>
      <c r="G8" s="460"/>
      <c r="H8" s="460"/>
      <c r="I8" s="460"/>
      <c r="J8" s="460"/>
      <c r="K8" s="460"/>
      <c r="L8" s="461"/>
      <c r="N8" s="35"/>
      <c r="O8" s="36"/>
      <c r="P8" s="36"/>
      <c r="Q8" s="36"/>
      <c r="R8" s="36"/>
      <c r="S8" s="36"/>
      <c r="T8" s="36"/>
      <c r="U8" s="36"/>
      <c r="V8" s="211"/>
      <c r="W8" s="211"/>
      <c r="X8" s="211"/>
      <c r="Y8" s="211"/>
      <c r="Z8" s="211"/>
      <c r="AA8" s="211"/>
      <c r="AB8" s="211"/>
      <c r="AC8" s="37"/>
      <c r="AE8" s="359"/>
      <c r="AF8" s="376" t="s">
        <v>28</v>
      </c>
      <c r="AG8" s="393">
        <v>0</v>
      </c>
      <c r="AH8" s="396">
        <f>A5_ElVarmeBrændstofByggeplads</f>
        <v>0.25</v>
      </c>
      <c r="AI8" s="377" t="s">
        <v>551</v>
      </c>
      <c r="AJ8" s="360"/>
    </row>
    <row r="9" spans="2:36" ht="15" customHeight="1">
      <c r="C9" s="59"/>
      <c r="D9" s="60"/>
      <c r="E9" s="59"/>
      <c r="F9" s="59"/>
      <c r="G9" s="59"/>
      <c r="H9" s="59"/>
      <c r="I9" s="59"/>
      <c r="J9" s="59"/>
      <c r="K9" s="59"/>
      <c r="L9" s="59"/>
      <c r="N9" s="35"/>
      <c r="O9" s="36"/>
      <c r="P9" s="36"/>
      <c r="Q9" s="36"/>
      <c r="R9" s="36"/>
      <c r="S9" s="36"/>
      <c r="T9" s="36"/>
      <c r="U9" s="36"/>
      <c r="V9" s="211"/>
      <c r="W9" s="211"/>
      <c r="X9" s="211"/>
      <c r="Y9" s="211"/>
      <c r="Z9" s="211"/>
      <c r="AA9" s="211"/>
      <c r="AB9" s="211"/>
      <c r="AC9" s="37"/>
      <c r="AE9" s="359"/>
      <c r="AF9" s="376" t="s">
        <v>30</v>
      </c>
      <c r="AG9" s="393">
        <v>0</v>
      </c>
      <c r="AH9" s="396" t="str">
        <f>INDEX(Tidstabel[Energibesparelse],MATCH(Input_Tidshorisont,Tidstabel[År],0))</f>
        <v>.</v>
      </c>
      <c r="AI9" s="377" t="s">
        <v>551</v>
      </c>
      <c r="AJ9" s="360"/>
    </row>
    <row r="10" spans="2:36" ht="18.75">
      <c r="B10" s="53"/>
      <c r="C10" s="440" t="s">
        <v>541</v>
      </c>
      <c r="D10" s="440"/>
      <c r="E10" s="440"/>
      <c r="F10" s="440"/>
      <c r="G10" s="440"/>
      <c r="H10" s="440"/>
      <c r="I10" s="440"/>
      <c r="J10" s="440"/>
      <c r="K10" s="440"/>
      <c r="L10" s="441"/>
      <c r="N10" s="35"/>
      <c r="O10" s="36"/>
      <c r="P10" s="36"/>
      <c r="Q10" s="36"/>
      <c r="R10" s="36"/>
      <c r="S10" s="36"/>
      <c r="T10" s="36"/>
      <c r="U10" s="36"/>
      <c r="V10" s="211"/>
      <c r="W10" s="211"/>
      <c r="X10" s="211"/>
      <c r="Y10" s="211"/>
      <c r="Z10" s="211"/>
      <c r="AA10" s="211"/>
      <c r="AB10" s="211"/>
      <c r="AC10" s="37"/>
      <c r="AE10" s="359"/>
      <c r="AF10" s="376" t="s">
        <v>27</v>
      </c>
      <c r="AG10" s="397">
        <f>INDEX(Tidstabel[Vedligehold_EksisterendeFacade],MATCH(Input_Tidshorisont,Tidstabel[År],0))</f>
        <v>16.567568577499998</v>
      </c>
      <c r="AH10" s="394">
        <v>0</v>
      </c>
      <c r="AI10" s="377" t="s">
        <v>551</v>
      </c>
      <c r="AJ10" s="360"/>
    </row>
    <row r="11" spans="2:36" ht="15.75">
      <c r="B11" s="25"/>
      <c r="C11" s="61"/>
      <c r="D11" s="61"/>
      <c r="E11" s="61"/>
      <c r="F11" s="61"/>
      <c r="G11" s="61"/>
      <c r="H11" s="61"/>
      <c r="I11" s="299"/>
      <c r="J11" s="299"/>
      <c r="K11" s="299"/>
      <c r="L11" s="300"/>
      <c r="N11" s="35"/>
      <c r="O11" s="36"/>
      <c r="P11" s="36"/>
      <c r="Q11" s="36"/>
      <c r="R11" s="36"/>
      <c r="S11" s="36"/>
      <c r="T11" s="36"/>
      <c r="U11" s="36"/>
      <c r="V11" s="211"/>
      <c r="W11" s="211"/>
      <c r="X11" s="211"/>
      <c r="Y11" s="211"/>
      <c r="Z11" s="211"/>
      <c r="AA11" s="211"/>
      <c r="AB11" s="211"/>
      <c r="AC11" s="37"/>
      <c r="AE11" s="361"/>
      <c r="AF11" s="376" t="s">
        <v>554</v>
      </c>
      <c r="AG11" s="397">
        <f>INDEX(Tidstabel[Vedligehold_EksisterendeFacade],MATCH(Input_Tidshorisont,Tidstabel[År],0))</f>
        <v>16.567568577499998</v>
      </c>
      <c r="AH11" s="396" t="str">
        <f>INDEX(Tidstabel[Emission_Netto],MATCH(Input_Tidshorisont,Tidstabel[År],0))</f>
        <v>.</v>
      </c>
      <c r="AI11" s="377" t="s">
        <v>551</v>
      </c>
      <c r="AJ11" s="360"/>
    </row>
    <row r="12" spans="2:36" ht="15.75">
      <c r="B12" s="26"/>
      <c r="C12" s="447" t="s">
        <v>254</v>
      </c>
      <c r="D12" s="448"/>
      <c r="E12" s="448"/>
      <c r="F12" s="448"/>
      <c r="G12" s="448"/>
      <c r="H12" s="448"/>
      <c r="I12" s="448"/>
      <c r="J12" s="449"/>
      <c r="K12" s="287"/>
      <c r="L12" s="288"/>
      <c r="N12" s="35"/>
      <c r="O12" s="36"/>
      <c r="P12" s="36"/>
      <c r="Q12" s="36"/>
      <c r="R12" s="36"/>
      <c r="S12" s="36"/>
      <c r="T12" s="36"/>
      <c r="U12" s="36"/>
      <c r="V12" s="211"/>
      <c r="W12" s="211"/>
      <c r="X12" s="211"/>
      <c r="Y12" s="211"/>
      <c r="Z12" s="211"/>
      <c r="AA12" s="211"/>
      <c r="AB12" s="211"/>
      <c r="AC12" s="37"/>
      <c r="AE12" s="359"/>
      <c r="AF12" s="376" t="s">
        <v>555</v>
      </c>
      <c r="AG12" s="430" t="str">
        <f>IF(Check_Færdighedsgrad=1,AH11-AG11,"Afventer")</f>
        <v>Afventer</v>
      </c>
      <c r="AH12" s="430"/>
      <c r="AI12" s="377" t="s">
        <v>551</v>
      </c>
      <c r="AJ12" s="360"/>
    </row>
    <row r="13" spans="2:36" ht="15.75">
      <c r="B13" s="26"/>
      <c r="C13" s="450" t="s">
        <v>538</v>
      </c>
      <c r="D13" s="451"/>
      <c r="E13" s="451"/>
      <c r="F13" s="451"/>
      <c r="G13" s="451"/>
      <c r="H13" s="451"/>
      <c r="I13" s="451"/>
      <c r="J13" s="452"/>
      <c r="K13" s="287"/>
      <c r="L13" s="288"/>
      <c r="N13" s="35"/>
      <c r="O13" s="36"/>
      <c r="P13" s="36"/>
      <c r="Q13" s="36"/>
      <c r="R13" s="36"/>
      <c r="S13" s="36"/>
      <c r="T13" s="36"/>
      <c r="U13" s="36"/>
      <c r="V13" s="211"/>
      <c r="W13" s="211"/>
      <c r="X13" s="211"/>
      <c r="Y13" s="211"/>
      <c r="Z13" s="211"/>
      <c r="AA13" s="211"/>
      <c r="AB13" s="211"/>
      <c r="AC13" s="121"/>
      <c r="AE13" s="359"/>
      <c r="AF13" s="367"/>
      <c r="AG13" s="367"/>
      <c r="AH13" s="367"/>
      <c r="AI13" s="367"/>
      <c r="AJ13" s="360"/>
    </row>
    <row r="14" spans="2:36" ht="15.75">
      <c r="B14" s="26"/>
      <c r="C14" s="455" t="s">
        <v>540</v>
      </c>
      <c r="D14" s="455"/>
      <c r="E14" s="455"/>
      <c r="F14" s="455"/>
      <c r="G14" s="455"/>
      <c r="H14" s="455"/>
      <c r="I14" s="455"/>
      <c r="J14" s="455"/>
      <c r="K14" s="455"/>
      <c r="L14" s="288"/>
      <c r="N14" s="35"/>
      <c r="O14" s="36"/>
      <c r="P14" s="36"/>
      <c r="Q14" s="36"/>
      <c r="R14" s="36"/>
      <c r="S14" s="36"/>
      <c r="T14" s="36"/>
      <c r="U14" s="36"/>
      <c r="V14" s="211"/>
      <c r="W14" s="211"/>
      <c r="X14" s="211"/>
      <c r="Y14" s="211"/>
      <c r="Z14" s="211"/>
      <c r="AA14" s="211"/>
      <c r="AB14" s="211"/>
      <c r="AC14" s="121"/>
      <c r="AE14" s="359"/>
      <c r="AF14" s="427" t="s">
        <v>556</v>
      </c>
      <c r="AG14" s="427"/>
      <c r="AH14" s="378" t="str">
        <f>IF(LCA_Rentabel_År=-10,IF(Check_Færdighedsgrad=1,IF(INDEX(Tidstabel[Emission_Netto],MATCH(0,Tidstabel[År],0))&lt;INDEX(Tidstabel[Vedligehold_EksisterendeFacade],MATCH(0,Tidstabel[År],0)),0,"-"),"Afventer"),LCA_Rentabel_År)</f>
        <v>Afventer</v>
      </c>
      <c r="AI14" s="377" t="s">
        <v>55</v>
      </c>
      <c r="AJ14" s="360"/>
    </row>
    <row r="15" spans="2:36" ht="15.75">
      <c r="B15" s="26"/>
      <c r="C15" s="455"/>
      <c r="D15" s="455"/>
      <c r="E15" s="455"/>
      <c r="F15" s="455"/>
      <c r="G15" s="455"/>
      <c r="H15" s="455"/>
      <c r="I15" s="455"/>
      <c r="J15" s="455"/>
      <c r="K15" s="455"/>
      <c r="L15" s="288"/>
      <c r="N15" s="35"/>
      <c r="O15" s="36"/>
      <c r="P15" s="36"/>
      <c r="Q15" s="36"/>
      <c r="R15" s="36"/>
      <c r="S15" s="36"/>
      <c r="T15" s="36"/>
      <c r="U15" s="36"/>
      <c r="V15" s="211"/>
      <c r="W15" s="211"/>
      <c r="X15" s="211"/>
      <c r="Y15" s="211"/>
      <c r="Z15" s="211"/>
      <c r="AA15" s="211"/>
      <c r="AB15" s="211"/>
      <c r="AC15" s="121"/>
      <c r="AE15" s="359"/>
      <c r="AF15" s="369"/>
      <c r="AG15" s="369"/>
      <c r="AH15" s="369"/>
      <c r="AI15" s="369"/>
      <c r="AJ15" s="360"/>
    </row>
    <row r="16" spans="2:36" ht="15.75">
      <c r="B16" s="26"/>
      <c r="C16" s="455"/>
      <c r="D16" s="455"/>
      <c r="E16" s="455"/>
      <c r="F16" s="455"/>
      <c r="G16" s="455"/>
      <c r="H16" s="455"/>
      <c r="I16" s="455"/>
      <c r="J16" s="455"/>
      <c r="K16" s="455"/>
      <c r="L16" s="134"/>
      <c r="N16" s="35"/>
      <c r="O16" s="36"/>
      <c r="P16" s="36"/>
      <c r="Q16" s="36"/>
      <c r="R16" s="36"/>
      <c r="S16" s="36"/>
      <c r="T16" s="36"/>
      <c r="U16" s="36"/>
      <c r="V16" s="211"/>
      <c r="W16" s="211"/>
      <c r="X16" s="211"/>
      <c r="Y16" s="211"/>
      <c r="Z16" s="211"/>
      <c r="AA16" s="211"/>
      <c r="AB16" s="211"/>
      <c r="AC16" s="121"/>
      <c r="AE16" s="359"/>
      <c r="AF16" s="369"/>
      <c r="AG16" s="369"/>
      <c r="AH16" s="369"/>
      <c r="AI16" s="369"/>
      <c r="AJ16" s="360"/>
    </row>
    <row r="17" spans="2:36" ht="15.75">
      <c r="B17" s="26"/>
      <c r="C17" s="455"/>
      <c r="D17" s="455"/>
      <c r="E17" s="455"/>
      <c r="F17" s="455"/>
      <c r="G17" s="455"/>
      <c r="H17" s="455"/>
      <c r="I17" s="455"/>
      <c r="J17" s="455"/>
      <c r="K17" s="455"/>
      <c r="L17" s="301"/>
      <c r="N17" s="35"/>
      <c r="O17" s="36"/>
      <c r="P17" s="36"/>
      <c r="Q17" s="36"/>
      <c r="R17" s="36"/>
      <c r="S17" s="36"/>
      <c r="T17" s="36"/>
      <c r="U17" s="36"/>
      <c r="V17" s="211"/>
      <c r="W17" s="211"/>
      <c r="X17" s="211"/>
      <c r="Y17" s="211"/>
      <c r="Z17" s="211"/>
      <c r="AA17" s="211"/>
      <c r="AB17" s="211"/>
      <c r="AC17" s="121"/>
      <c r="AE17" s="359"/>
      <c r="AF17" s="369"/>
      <c r="AG17" s="369"/>
      <c r="AH17" s="369"/>
      <c r="AI17" s="369"/>
      <c r="AJ17" s="360"/>
    </row>
    <row r="18" spans="2:36" ht="15.75">
      <c r="B18" s="26"/>
      <c r="C18" s="453" t="s">
        <v>539</v>
      </c>
      <c r="D18" s="453"/>
      <c r="E18" s="453"/>
      <c r="F18" s="453"/>
      <c r="G18" s="453"/>
      <c r="H18" s="453"/>
      <c r="I18" s="453"/>
      <c r="J18" s="453"/>
      <c r="K18" s="453"/>
      <c r="L18" s="301"/>
      <c r="N18" s="35"/>
      <c r="O18" s="36"/>
      <c r="P18" s="36"/>
      <c r="Q18" s="36"/>
      <c r="R18" s="36"/>
      <c r="S18" s="36"/>
      <c r="T18" s="36"/>
      <c r="U18" s="36"/>
      <c r="V18" s="211"/>
      <c r="W18" s="211"/>
      <c r="X18" s="211"/>
      <c r="Y18" s="211"/>
      <c r="Z18" s="211"/>
      <c r="AA18" s="211"/>
      <c r="AB18" s="211"/>
      <c r="AC18" s="121"/>
      <c r="AE18" s="359"/>
      <c r="AF18" s="369"/>
      <c r="AG18" s="369"/>
      <c r="AH18" s="369"/>
      <c r="AI18" s="369"/>
      <c r="AJ18" s="360"/>
    </row>
    <row r="19" spans="2:36" ht="15.75">
      <c r="B19" s="27"/>
      <c r="C19" s="454"/>
      <c r="D19" s="454"/>
      <c r="E19" s="454"/>
      <c r="F19" s="454"/>
      <c r="G19" s="454"/>
      <c r="H19" s="454"/>
      <c r="I19" s="454"/>
      <c r="J19" s="454"/>
      <c r="K19" s="454"/>
      <c r="L19" s="302"/>
      <c r="N19" s="35"/>
      <c r="O19" s="36"/>
      <c r="P19" s="36"/>
      <c r="Q19" s="36"/>
      <c r="R19" s="36"/>
      <c r="S19" s="36"/>
      <c r="T19" s="36"/>
      <c r="U19" s="36"/>
      <c r="V19" s="211"/>
      <c r="W19" s="211"/>
      <c r="X19" s="211"/>
      <c r="Y19" s="211"/>
      <c r="Z19" s="211"/>
      <c r="AA19" s="211"/>
      <c r="AB19" s="211"/>
      <c r="AC19" s="121"/>
      <c r="AE19" s="359"/>
      <c r="AF19" s="369"/>
      <c r="AG19" s="369"/>
      <c r="AH19" s="369"/>
      <c r="AI19" s="369"/>
      <c r="AJ19" s="360"/>
    </row>
    <row r="20" spans="2:36" ht="15" customHeight="1">
      <c r="B20" s="21"/>
      <c r="D20" s="21"/>
      <c r="E20" s="21"/>
      <c r="F20" s="21"/>
      <c r="G20" s="21"/>
      <c r="H20" s="21"/>
      <c r="N20" s="35"/>
      <c r="O20" s="36"/>
      <c r="P20" s="36"/>
      <c r="Q20" s="36"/>
      <c r="R20" s="36"/>
      <c r="S20" s="36"/>
      <c r="T20" s="36"/>
      <c r="U20" s="36"/>
      <c r="V20" s="211"/>
      <c r="W20" s="211"/>
      <c r="X20" s="211"/>
      <c r="Y20" s="211"/>
      <c r="Z20" s="211"/>
      <c r="AA20" s="211"/>
      <c r="AB20" s="211"/>
      <c r="AC20" s="121"/>
      <c r="AE20" s="359"/>
      <c r="AF20" s="369"/>
      <c r="AG20" s="369"/>
      <c r="AH20" s="369"/>
      <c r="AI20" s="369"/>
      <c r="AJ20" s="360"/>
    </row>
    <row r="21" spans="2:36" ht="18.75">
      <c r="B21" s="53"/>
      <c r="C21" s="440" t="s">
        <v>250</v>
      </c>
      <c r="D21" s="440"/>
      <c r="E21" s="440"/>
      <c r="F21" s="440"/>
      <c r="G21" s="440"/>
      <c r="H21" s="440"/>
      <c r="I21" s="440"/>
      <c r="J21" s="440"/>
      <c r="K21" s="440"/>
      <c r="L21" s="441"/>
      <c r="N21" s="35"/>
      <c r="O21" s="36"/>
      <c r="P21" s="36"/>
      <c r="Q21" s="36"/>
      <c r="R21" s="36"/>
      <c r="S21" s="36"/>
      <c r="T21" s="36"/>
      <c r="U21" s="36"/>
      <c r="V21" s="211"/>
      <c r="W21" s="211"/>
      <c r="X21" s="211"/>
      <c r="Y21" s="211"/>
      <c r="Z21" s="211"/>
      <c r="AA21" s="211"/>
      <c r="AB21" s="211"/>
      <c r="AC21" s="121"/>
      <c r="AE21" s="362"/>
      <c r="AF21" s="369"/>
      <c r="AG21" s="369"/>
      <c r="AH21" s="369"/>
      <c r="AI21" s="369"/>
      <c r="AJ21" s="360"/>
    </row>
    <row r="22" spans="2:36" ht="15.75">
      <c r="B22" s="25"/>
      <c r="C22" s="446"/>
      <c r="D22" s="446"/>
      <c r="E22" s="446"/>
      <c r="F22" s="446"/>
      <c r="G22" s="446"/>
      <c r="H22" s="446"/>
      <c r="I22" s="446"/>
      <c r="J22" s="61"/>
      <c r="K22" s="61"/>
      <c r="L22" s="63"/>
      <c r="N22" s="35"/>
      <c r="O22" s="36"/>
      <c r="P22" s="36"/>
      <c r="Q22" s="36"/>
      <c r="R22" s="36"/>
      <c r="S22" s="36"/>
      <c r="T22" s="36"/>
      <c r="U22" s="36"/>
      <c r="V22" s="211"/>
      <c r="W22" s="211"/>
      <c r="X22" s="211"/>
      <c r="Y22" s="211"/>
      <c r="Z22" s="211"/>
      <c r="AA22" s="211"/>
      <c r="AB22" s="211"/>
      <c r="AC22" s="121"/>
      <c r="AE22" s="362"/>
      <c r="AF22" s="369"/>
      <c r="AG22" s="369"/>
      <c r="AH22" s="369"/>
      <c r="AI22" s="369"/>
      <c r="AJ22" s="360"/>
    </row>
    <row r="23" spans="2:36" ht="15.75">
      <c r="B23" s="26"/>
      <c r="C23" s="71" t="s">
        <v>31</v>
      </c>
      <c r="D23" s="445" t="s">
        <v>32</v>
      </c>
      <c r="E23" s="445"/>
      <c r="F23" s="445"/>
      <c r="G23" s="445"/>
      <c r="H23" s="445"/>
      <c r="I23" s="445"/>
      <c r="J23" s="72" t="s">
        <v>96</v>
      </c>
      <c r="K23" s="73" t="s">
        <v>252</v>
      </c>
      <c r="L23" s="64"/>
      <c r="N23" s="35"/>
      <c r="O23" s="36"/>
      <c r="P23" s="36"/>
      <c r="Q23" s="36"/>
      <c r="R23" s="36"/>
      <c r="S23" s="36"/>
      <c r="T23" s="36"/>
      <c r="U23" s="36"/>
      <c r="V23" s="211"/>
      <c r="W23" s="211"/>
      <c r="X23" s="211"/>
      <c r="Y23" s="211"/>
      <c r="Z23" s="211"/>
      <c r="AA23" s="211"/>
      <c r="AB23" s="211"/>
      <c r="AC23" s="121"/>
      <c r="AE23" s="362"/>
      <c r="AF23" s="369"/>
      <c r="AG23" s="369"/>
      <c r="AH23" s="369"/>
      <c r="AI23" s="369"/>
      <c r="AJ23" s="360"/>
    </row>
    <row r="24" spans="2:36" ht="15.75">
      <c r="B24" s="26"/>
      <c r="C24" s="290" t="s">
        <v>33</v>
      </c>
      <c r="D24" s="436" t="s">
        <v>230</v>
      </c>
      <c r="E24" s="436"/>
      <c r="F24" s="436"/>
      <c r="G24" s="436"/>
      <c r="H24" s="436"/>
      <c r="I24" s="436"/>
      <c r="J24" s="414">
        <v>0</v>
      </c>
      <c r="K24" s="116">
        <f>100%-J24</f>
        <v>1</v>
      </c>
      <c r="L24" s="64"/>
      <c r="N24" s="35"/>
      <c r="O24" s="36"/>
      <c r="P24" s="36"/>
      <c r="Q24" s="36"/>
      <c r="R24" s="36"/>
      <c r="S24" s="36"/>
      <c r="T24" s="36"/>
      <c r="U24" s="36"/>
      <c r="V24" s="211"/>
      <c r="W24" s="211"/>
      <c r="X24" s="211"/>
      <c r="Y24" s="211"/>
      <c r="Z24" s="211"/>
      <c r="AA24" s="211"/>
      <c r="AB24" s="211"/>
      <c r="AC24" s="121"/>
      <c r="AE24" s="362"/>
      <c r="AF24" s="370"/>
      <c r="AG24" s="370"/>
      <c r="AH24" s="370"/>
      <c r="AI24" s="370"/>
      <c r="AJ24" s="360"/>
    </row>
    <row r="25" spans="2:36" ht="15.75">
      <c r="B25" s="26"/>
      <c r="C25" s="291" t="s">
        <v>36</v>
      </c>
      <c r="D25" s="436" t="s">
        <v>231</v>
      </c>
      <c r="E25" s="436"/>
      <c r="F25" s="436"/>
      <c r="G25" s="442"/>
      <c r="H25" s="442"/>
      <c r="I25" s="442"/>
      <c r="J25" s="414">
        <v>0</v>
      </c>
      <c r="K25" s="116">
        <f>100%-J25</f>
        <v>1</v>
      </c>
      <c r="L25" s="64"/>
      <c r="N25" s="35"/>
      <c r="O25" s="36"/>
      <c r="P25" s="36"/>
      <c r="Q25" s="36"/>
      <c r="R25" s="36"/>
      <c r="S25" s="36"/>
      <c r="T25" s="36"/>
      <c r="U25" s="36"/>
      <c r="V25" s="211"/>
      <c r="W25" s="211"/>
      <c r="X25" s="211"/>
      <c r="Y25" s="211"/>
      <c r="Z25" s="211"/>
      <c r="AA25" s="211"/>
      <c r="AB25" s="211"/>
      <c r="AC25" s="121"/>
      <c r="AE25" s="362"/>
      <c r="AF25" s="370"/>
      <c r="AG25" s="370"/>
      <c r="AH25" s="370"/>
      <c r="AI25" s="370"/>
      <c r="AJ25" s="360"/>
    </row>
    <row r="26" spans="2:36" ht="15.75">
      <c r="B26" s="26"/>
      <c r="C26" s="291" t="s">
        <v>248</v>
      </c>
      <c r="D26" s="467" t="s">
        <v>233</v>
      </c>
      <c r="E26" s="468"/>
      <c r="F26" s="468"/>
      <c r="G26" s="433" t="str">
        <f>IFERROR(_xlfn.TEXTBEFORE(_xlfn.TEXTAFTER(Input_EksisterendeFacade,"+ ")," efterisolering"),"Afventer")</f>
        <v>Afventer</v>
      </c>
      <c r="H26" s="434"/>
      <c r="I26" s="435"/>
      <c r="J26" s="289">
        <v>0</v>
      </c>
      <c r="K26" s="116">
        <f>100%-J26</f>
        <v>1</v>
      </c>
      <c r="L26" s="64"/>
      <c r="N26" s="35"/>
      <c r="O26" s="36"/>
      <c r="P26" s="36"/>
      <c r="Q26" s="36"/>
      <c r="R26" s="36"/>
      <c r="S26" s="36"/>
      <c r="T26" s="36"/>
      <c r="U26" s="36"/>
      <c r="V26" s="211"/>
      <c r="W26" s="211"/>
      <c r="X26" s="211"/>
      <c r="Y26" s="211"/>
      <c r="Z26" s="211"/>
      <c r="AA26" s="211"/>
      <c r="AB26" s="211"/>
      <c r="AC26" s="121"/>
      <c r="AE26" s="362"/>
      <c r="AF26" s="370"/>
      <c r="AG26" s="370"/>
      <c r="AH26" s="370"/>
      <c r="AI26" s="370"/>
      <c r="AJ26" s="360"/>
    </row>
    <row r="27" spans="2:36" ht="15.75">
      <c r="B27" s="26"/>
      <c r="C27" s="291" t="s">
        <v>40</v>
      </c>
      <c r="D27" s="436" t="s">
        <v>243</v>
      </c>
      <c r="E27" s="436"/>
      <c r="F27" s="436"/>
      <c r="G27" s="437"/>
      <c r="H27" s="437"/>
      <c r="I27" s="437"/>
      <c r="J27" s="414">
        <v>0</v>
      </c>
      <c r="K27" s="116">
        <f>100%-J27</f>
        <v>1</v>
      </c>
      <c r="L27" s="64"/>
      <c r="N27" s="35"/>
      <c r="O27" s="36"/>
      <c r="P27" s="36"/>
      <c r="Q27" s="36"/>
      <c r="R27" s="36"/>
      <c r="S27" s="36"/>
      <c r="T27" s="36"/>
      <c r="U27" s="36"/>
      <c r="V27" s="211"/>
      <c r="W27" s="211"/>
      <c r="X27" s="211"/>
      <c r="Y27" s="211"/>
      <c r="Z27" s="211"/>
      <c r="AA27" s="211"/>
      <c r="AB27" s="211"/>
      <c r="AC27" s="121"/>
      <c r="AE27" s="362"/>
      <c r="AF27" s="370"/>
      <c r="AG27" s="370"/>
      <c r="AH27" s="370"/>
      <c r="AI27" s="369"/>
      <c r="AJ27" s="360"/>
    </row>
    <row r="28" spans="2:36" ht="15.75">
      <c r="B28" s="26"/>
      <c r="C28" s="292" t="s">
        <v>42</v>
      </c>
      <c r="D28" s="464" t="s">
        <v>244</v>
      </c>
      <c r="E28" s="464"/>
      <c r="F28" s="464"/>
      <c r="G28" s="464"/>
      <c r="H28" s="464"/>
      <c r="I28" s="464"/>
      <c r="J28" s="413">
        <v>0</v>
      </c>
      <c r="K28" s="117">
        <f>100%-J28</f>
        <v>1</v>
      </c>
      <c r="L28" s="64"/>
      <c r="N28" s="38"/>
      <c r="O28" s="39"/>
      <c r="P28" s="39"/>
      <c r="Q28" s="39"/>
      <c r="R28" s="39"/>
      <c r="S28" s="39"/>
      <c r="T28" s="39"/>
      <c r="U28" s="39"/>
      <c r="V28" s="298"/>
      <c r="W28" s="298"/>
      <c r="X28" s="298"/>
      <c r="Y28" s="298"/>
      <c r="Z28" s="298"/>
      <c r="AA28" s="298"/>
      <c r="AB28" s="298"/>
      <c r="AC28" s="122"/>
      <c r="AE28" s="363"/>
      <c r="AF28" s="364"/>
      <c r="AG28" s="364"/>
      <c r="AH28" s="364"/>
      <c r="AI28" s="365"/>
      <c r="AJ28" s="366"/>
    </row>
    <row r="29" spans="2:36" ht="15">
      <c r="B29" s="415"/>
      <c r="C29" s="425" t="s">
        <v>562</v>
      </c>
      <c r="D29" s="425"/>
      <c r="E29" s="425"/>
      <c r="F29" s="425"/>
      <c r="G29" s="425"/>
      <c r="H29" s="425"/>
      <c r="I29" s="425"/>
      <c r="J29" s="425"/>
      <c r="K29" s="425"/>
      <c r="L29" s="64"/>
      <c r="AD29" s="21"/>
      <c r="AE29" s="21"/>
      <c r="AF29" s="21"/>
      <c r="AG29" s="21"/>
      <c r="AH29" s="21"/>
      <c r="AI29" s="21"/>
      <c r="AJ29" s="21"/>
    </row>
    <row r="30" spans="2:36" ht="18.75">
      <c r="B30" s="415"/>
      <c r="C30" s="425"/>
      <c r="D30" s="425"/>
      <c r="E30" s="425"/>
      <c r="F30" s="425"/>
      <c r="G30" s="425"/>
      <c r="H30" s="425"/>
      <c r="I30" s="425"/>
      <c r="J30" s="425"/>
      <c r="K30" s="425"/>
      <c r="L30" s="64"/>
      <c r="N30" s="31"/>
      <c r="O30" s="438" t="s">
        <v>35</v>
      </c>
      <c r="P30" s="438"/>
      <c r="Q30" s="438"/>
      <c r="R30" s="438"/>
      <c r="S30" s="210" t="str">
        <f>IF(Check_Færdighedsgrad&lt;1,"Afventer indtastning:","")</f>
        <v>Afventer indtastning:</v>
      </c>
      <c r="T30" s="1">
        <f>Check_Fremskridtsvisning</f>
        <v>0</v>
      </c>
      <c r="U30" s="133"/>
      <c r="V30" s="438" t="s">
        <v>26</v>
      </c>
      <c r="W30" s="438"/>
      <c r="X30" s="438"/>
      <c r="Y30" s="438"/>
      <c r="Z30" s="438"/>
      <c r="AA30" s="438"/>
      <c r="AB30" s="438"/>
      <c r="AC30" s="439"/>
      <c r="AE30" s="355"/>
      <c r="AF30" s="426" t="str">
        <f>"Økonomi efter "&amp;Input_Tidshorisont&amp;" år"</f>
        <v>Økonomi efter 50 år</v>
      </c>
      <c r="AG30" s="426"/>
      <c r="AH30" s="426"/>
      <c r="AI30" s="426"/>
      <c r="AJ30" s="350"/>
    </row>
    <row r="31" spans="2:36" ht="15.75">
      <c r="B31" s="26"/>
      <c r="C31" s="425"/>
      <c r="D31" s="425"/>
      <c r="E31" s="425"/>
      <c r="F31" s="425"/>
      <c r="G31" s="425"/>
      <c r="H31" s="425"/>
      <c r="I31" s="425"/>
      <c r="J31" s="425"/>
      <c r="K31" s="425"/>
      <c r="L31" s="288"/>
      <c r="N31" s="33"/>
      <c r="O31" s="34"/>
      <c r="P31" s="34"/>
      <c r="Q31" s="34"/>
      <c r="R31" s="34"/>
      <c r="S31" s="34"/>
      <c r="T31" s="34"/>
      <c r="U31" s="40"/>
      <c r="V31" s="43"/>
      <c r="W31" s="43"/>
      <c r="X31" s="43"/>
      <c r="Y31" s="43"/>
      <c r="Z31" s="43"/>
      <c r="AA31" s="43"/>
      <c r="AB31" s="43"/>
      <c r="AC31" s="44"/>
      <c r="AE31" s="371"/>
      <c r="AF31" s="347"/>
      <c r="AG31" s="347"/>
      <c r="AH31" s="347"/>
      <c r="AI31" s="347"/>
      <c r="AJ31" s="372"/>
    </row>
    <row r="32" spans="2:36" ht="15.75">
      <c r="B32" s="26"/>
      <c r="C32" s="425"/>
      <c r="D32" s="425"/>
      <c r="E32" s="425"/>
      <c r="F32" s="425"/>
      <c r="G32" s="425"/>
      <c r="H32" s="425"/>
      <c r="I32" s="425"/>
      <c r="J32" s="425"/>
      <c r="K32" s="425"/>
      <c r="L32" s="288"/>
      <c r="N32" s="35"/>
      <c r="O32" s="36"/>
      <c r="P32" s="36"/>
      <c r="Q32" s="36"/>
      <c r="R32" s="36"/>
      <c r="S32" s="36"/>
      <c r="T32" s="36"/>
      <c r="U32" s="41"/>
      <c r="V32" s="212"/>
      <c r="W32" s="211"/>
      <c r="X32" s="211"/>
      <c r="Y32" s="211"/>
      <c r="Z32" s="211"/>
      <c r="AA32" s="211"/>
      <c r="AB32" s="211"/>
      <c r="AC32" s="45"/>
      <c r="AE32" s="371"/>
      <c r="AF32" s="348" t="s">
        <v>549</v>
      </c>
      <c r="AG32" s="345" t="s">
        <v>548</v>
      </c>
      <c r="AH32" s="346" t="s">
        <v>547</v>
      </c>
      <c r="AI32" s="349" t="s">
        <v>98</v>
      </c>
      <c r="AJ32" s="372"/>
    </row>
    <row r="33" spans="2:36" ht="15.75">
      <c r="B33" s="26"/>
      <c r="C33" s="453" t="s">
        <v>44</v>
      </c>
      <c r="D33" s="453"/>
      <c r="E33" s="453"/>
      <c r="F33" s="453"/>
      <c r="G33" s="453"/>
      <c r="H33" s="453"/>
      <c r="I33" s="453"/>
      <c r="J33" s="453"/>
      <c r="K33" s="453"/>
      <c r="L33" s="462"/>
      <c r="N33" s="35"/>
      <c r="O33" s="36"/>
      <c r="P33" s="36"/>
      <c r="Q33" s="36"/>
      <c r="R33" s="36"/>
      <c r="S33" s="36"/>
      <c r="T33" s="36"/>
      <c r="U33" s="41"/>
      <c r="V33" s="211"/>
      <c r="W33" s="211"/>
      <c r="X33" s="211"/>
      <c r="Y33" s="211"/>
      <c r="Z33" s="211"/>
      <c r="AA33" s="211"/>
      <c r="AB33" s="211"/>
      <c r="AC33" s="45"/>
      <c r="AE33" s="371"/>
      <c r="AF33" s="388" t="s">
        <v>46</v>
      </c>
      <c r="AG33" s="389">
        <v>0</v>
      </c>
      <c r="AH33" s="390" t="str">
        <f>INDEX(Tidstabel[KF_Anskaffelse],MATCH(0,Tidstabel[År],0))</f>
        <v>.</v>
      </c>
      <c r="AI33" s="387" t="s">
        <v>546</v>
      </c>
      <c r="AJ33" s="372"/>
    </row>
    <row r="34" spans="2:36" ht="15.75">
      <c r="B34" s="26"/>
      <c r="C34" s="453"/>
      <c r="D34" s="453"/>
      <c r="E34" s="453"/>
      <c r="F34" s="453"/>
      <c r="G34" s="453"/>
      <c r="H34" s="453"/>
      <c r="I34" s="453"/>
      <c r="J34" s="453"/>
      <c r="K34" s="453"/>
      <c r="L34" s="462"/>
      <c r="N34" s="42"/>
      <c r="O34" s="36"/>
      <c r="P34" s="36"/>
      <c r="Q34" s="36"/>
      <c r="R34" s="36"/>
      <c r="S34" s="36"/>
      <c r="T34" s="36"/>
      <c r="U34" s="36"/>
      <c r="V34" s="211"/>
      <c r="W34" s="211"/>
      <c r="X34" s="211"/>
      <c r="Y34" s="211"/>
      <c r="Z34" s="211"/>
      <c r="AA34" s="211"/>
      <c r="AB34" s="211"/>
      <c r="AC34" s="45"/>
      <c r="AE34" s="371"/>
      <c r="AF34" s="379" t="s">
        <v>47</v>
      </c>
      <c r="AG34" s="380">
        <v>0</v>
      </c>
      <c r="AH34" s="381">
        <f>INDEX(Tidstabel[KF_Engangsudgifter],MATCH(0,Tidstabel[År],0))</f>
        <v>0</v>
      </c>
      <c r="AI34" s="377" t="s">
        <v>546</v>
      </c>
      <c r="AJ34" s="372"/>
    </row>
    <row r="35" spans="2:36" ht="15.75">
      <c r="B35" s="27"/>
      <c r="C35" s="454"/>
      <c r="D35" s="454"/>
      <c r="E35" s="454"/>
      <c r="F35" s="454"/>
      <c r="G35" s="454"/>
      <c r="H35" s="454"/>
      <c r="I35" s="454"/>
      <c r="J35" s="454"/>
      <c r="K35" s="454"/>
      <c r="L35" s="463"/>
      <c r="N35" s="42"/>
      <c r="O35" s="36"/>
      <c r="P35" s="36"/>
      <c r="Q35" s="36"/>
      <c r="R35" s="36"/>
      <c r="S35" s="36"/>
      <c r="T35" s="36"/>
      <c r="U35" s="36"/>
      <c r="V35" s="211"/>
      <c r="W35" s="211"/>
      <c r="X35" s="211"/>
      <c r="Y35" s="211"/>
      <c r="Z35" s="211"/>
      <c r="AA35" s="211"/>
      <c r="AB35" s="211"/>
      <c r="AC35" s="45"/>
      <c r="AE35" s="371"/>
      <c r="AF35" s="379" t="s">
        <v>27</v>
      </c>
      <c r="AG35" s="382">
        <f ca="1">INDEX(Tidstabel[EF_Vedligehold_Aggregeret],MATCH(Input_Tidshorisont,Tidstabel[År],0))</f>
        <v>-279.17473111522906</v>
      </c>
      <c r="AH35" s="381" t="str">
        <f ca="1">INDEX(Tidstabel[KF_Vedligehold_Aggregeret],MATCH(Input_Tidshorisont,Tidstabel[År],0))</f>
        <v>.</v>
      </c>
      <c r="AI35" s="377" t="s">
        <v>546</v>
      </c>
      <c r="AJ35" s="372"/>
    </row>
    <row r="36" spans="2:36" ht="15.75">
      <c r="C36" s="55"/>
      <c r="D36" s="56"/>
      <c r="E36" s="57"/>
      <c r="F36" s="57"/>
      <c r="G36" s="57"/>
      <c r="H36" s="57"/>
      <c r="I36" s="55"/>
      <c r="J36" s="55"/>
      <c r="K36" s="55"/>
      <c r="L36" s="55"/>
      <c r="N36" s="42"/>
      <c r="O36" s="36"/>
      <c r="P36" s="36"/>
      <c r="Q36" s="36"/>
      <c r="R36" s="36"/>
      <c r="S36" s="36"/>
      <c r="T36" s="36"/>
      <c r="U36" s="36"/>
      <c r="V36" s="211"/>
      <c r="W36" s="211"/>
      <c r="X36" s="211"/>
      <c r="Y36" s="211"/>
      <c r="Z36" s="211"/>
      <c r="AA36" s="211"/>
      <c r="AB36" s="211"/>
      <c r="AC36" s="45"/>
      <c r="AE36" s="371"/>
      <c r="AF36" s="379" t="s">
        <v>48</v>
      </c>
      <c r="AG36" s="380">
        <v>0</v>
      </c>
      <c r="AH36" s="381" t="str">
        <f>INDEX(Tidstabel[KF_Udskiftning_Aggregeret],MATCH(Input_Tidshorisont,Tidstabel[År],0))</f>
        <v>.</v>
      </c>
      <c r="AI36" s="377" t="s">
        <v>546</v>
      </c>
      <c r="AJ36" s="372"/>
    </row>
    <row r="37" spans="2:36" ht="18.75">
      <c r="B37" s="53"/>
      <c r="C37" s="440" t="s">
        <v>249</v>
      </c>
      <c r="D37" s="440"/>
      <c r="E37" s="440"/>
      <c r="F37" s="440"/>
      <c r="G37" s="440"/>
      <c r="H37" s="440"/>
      <c r="I37" s="440"/>
      <c r="J37" s="440"/>
      <c r="K37" s="440"/>
      <c r="L37" s="441"/>
      <c r="N37" s="35"/>
      <c r="O37" s="36"/>
      <c r="P37" s="36"/>
      <c r="Q37" s="36"/>
      <c r="R37" s="36"/>
      <c r="S37" s="36"/>
      <c r="T37" s="36"/>
      <c r="U37" s="36"/>
      <c r="V37" s="211"/>
      <c r="W37" s="211"/>
      <c r="X37" s="211"/>
      <c r="Y37" s="211"/>
      <c r="Z37" s="211"/>
      <c r="AA37" s="211"/>
      <c r="AB37" s="211"/>
      <c r="AC37" s="45"/>
      <c r="AE37" s="371"/>
      <c r="AF37" s="379" t="s">
        <v>49</v>
      </c>
      <c r="AG37" s="380">
        <v>0</v>
      </c>
      <c r="AH37" s="381" t="str">
        <f>INDEX(Tidstabel[KF_Forsyning_Aggregeret],MATCH(Input_Tidshorisont,Tidstabel[År],0))</f>
        <v>.</v>
      </c>
      <c r="AI37" s="377" t="s">
        <v>546</v>
      </c>
      <c r="AJ37" s="372"/>
    </row>
    <row r="38" spans="2:36" ht="15" customHeight="1">
      <c r="B38" s="30"/>
      <c r="C38" s="65"/>
      <c r="D38" s="65"/>
      <c r="E38" s="65"/>
      <c r="F38" s="65"/>
      <c r="G38" s="65"/>
      <c r="H38" s="66"/>
      <c r="I38" s="66"/>
      <c r="J38" s="66"/>
      <c r="K38" s="66"/>
      <c r="L38" s="67"/>
      <c r="M38" s="24"/>
      <c r="N38" s="35"/>
      <c r="O38" s="36"/>
      <c r="P38" s="36"/>
      <c r="Q38" s="36"/>
      <c r="R38" s="36"/>
      <c r="S38" s="36"/>
      <c r="T38" s="36"/>
      <c r="U38" s="36"/>
      <c r="V38" s="211"/>
      <c r="W38" s="211"/>
      <c r="X38" s="211"/>
      <c r="Y38" s="211"/>
      <c r="Z38" s="211"/>
      <c r="AA38" s="211"/>
      <c r="AB38" s="211"/>
      <c r="AC38" s="45"/>
      <c r="AE38" s="371"/>
      <c r="AF38" s="379" t="s">
        <v>50</v>
      </c>
      <c r="AG38" s="380">
        <v>0</v>
      </c>
      <c r="AH38" s="381">
        <f>INDEX(Tidstabel[KF_Restværdi],MATCH(Input_Tidshorisont,Tidstabel[År],0))</f>
        <v>0</v>
      </c>
      <c r="AI38" s="377" t="s">
        <v>546</v>
      </c>
      <c r="AJ38" s="372"/>
    </row>
    <row r="39" spans="2:36" ht="15.6" customHeight="1">
      <c r="B39" s="30"/>
      <c r="C39" s="447" t="s">
        <v>53</v>
      </c>
      <c r="D39" s="465"/>
      <c r="E39" s="466"/>
      <c r="F39" s="62"/>
      <c r="G39" s="469" t="s">
        <v>255</v>
      </c>
      <c r="H39" s="469"/>
      <c r="I39" s="469"/>
      <c r="J39" s="469"/>
      <c r="K39" s="469"/>
      <c r="L39" s="470"/>
      <c r="M39" s="24"/>
      <c r="N39" s="35"/>
      <c r="O39" s="36"/>
      <c r="P39" s="36"/>
      <c r="Q39" s="36"/>
      <c r="R39" s="36"/>
      <c r="S39" s="36"/>
      <c r="T39" s="36"/>
      <c r="U39" s="36"/>
      <c r="V39" s="211"/>
      <c r="W39" s="211"/>
      <c r="X39" s="211"/>
      <c r="Y39" s="211"/>
      <c r="Z39" s="211"/>
      <c r="AA39" s="211"/>
      <c r="AB39" s="211"/>
      <c r="AC39" s="45"/>
      <c r="AE39" s="371"/>
      <c r="AF39" s="379" t="s">
        <v>51</v>
      </c>
      <c r="AG39" s="383">
        <f ca="1">INDEX(Tidstabel[NPV_Eksisterende],MATCH(Input_Tidshorisont,Tidstabel[År],0))</f>
        <v>-279.17473111522906</v>
      </c>
      <c r="AH39" s="384" t="str">
        <f ca="1">INDEX(Tidstabel[NPV_Klimafacade],MATCH(Input_Tidshorisont,Tidstabel[År],0))</f>
        <v>.</v>
      </c>
      <c r="AI39" s="377" t="s">
        <v>546</v>
      </c>
      <c r="AJ39" s="372"/>
    </row>
    <row r="40" spans="2:36" ht="15.75">
      <c r="B40" s="30"/>
      <c r="C40" s="293" t="s">
        <v>54</v>
      </c>
      <c r="D40" s="68">
        <v>2024</v>
      </c>
      <c r="E40" s="295"/>
      <c r="F40" s="62"/>
      <c r="G40" s="469"/>
      <c r="H40" s="469"/>
      <c r="I40" s="469"/>
      <c r="J40" s="469"/>
      <c r="K40" s="469"/>
      <c r="L40" s="470"/>
      <c r="M40" s="24"/>
      <c r="N40" s="35"/>
      <c r="O40" s="36"/>
      <c r="P40" s="36"/>
      <c r="Q40" s="36"/>
      <c r="R40" s="36"/>
      <c r="S40" s="36"/>
      <c r="T40" s="36"/>
      <c r="U40" s="36"/>
      <c r="V40" s="211"/>
      <c r="W40" s="211"/>
      <c r="X40" s="211"/>
      <c r="Y40" s="211"/>
      <c r="Z40" s="211"/>
      <c r="AA40" s="211"/>
      <c r="AB40" s="211"/>
      <c r="AC40" s="45"/>
      <c r="AE40" s="371"/>
      <c r="AF40" s="379" t="s">
        <v>553</v>
      </c>
      <c r="AG40" s="428" t="str">
        <f>IF(Check_Færdighedsgrad=1,AH39-AG39,"Afventer")</f>
        <v>Afventer</v>
      </c>
      <c r="AH40" s="429"/>
      <c r="AI40" s="377" t="s">
        <v>546</v>
      </c>
      <c r="AJ40" s="372"/>
    </row>
    <row r="41" spans="2:36" ht="15.75">
      <c r="B41" s="30"/>
      <c r="C41" s="291" t="s">
        <v>353</v>
      </c>
      <c r="D41" s="69">
        <v>50</v>
      </c>
      <c r="E41" s="296" t="s">
        <v>55</v>
      </c>
      <c r="F41" s="62"/>
      <c r="G41" s="469"/>
      <c r="H41" s="469"/>
      <c r="I41" s="469"/>
      <c r="J41" s="469"/>
      <c r="K41" s="469"/>
      <c r="L41" s="470"/>
      <c r="N41" s="35"/>
      <c r="O41" s="36"/>
      <c r="P41" s="36"/>
      <c r="Q41" s="36"/>
      <c r="R41" s="36"/>
      <c r="S41" s="36"/>
      <c r="T41" s="36"/>
      <c r="U41" s="36"/>
      <c r="V41" s="211"/>
      <c r="W41" s="211"/>
      <c r="X41" s="211"/>
      <c r="Y41" s="211"/>
      <c r="Z41" s="211"/>
      <c r="AA41" s="211"/>
      <c r="AB41" s="211"/>
      <c r="AC41" s="45"/>
      <c r="AE41" s="371"/>
      <c r="AF41" s="379" t="s">
        <v>52</v>
      </c>
      <c r="AG41" s="382">
        <f ca="1">INDEX(Tidstabel[Årsomk_Eksisterende],MATCH(Input_Tidshorisont,Tidstabel[År],0))</f>
        <v>-9.8431585640726844</v>
      </c>
      <c r="AH41" s="381" t="str">
        <f ca="1">INDEX(Tidstabel[Årsomk_Klimafacade],MATCH(Input_Tidshorisont,Tidstabel[År],0))</f>
        <v>.</v>
      </c>
      <c r="AI41" s="377" t="s">
        <v>546</v>
      </c>
      <c r="AJ41" s="372"/>
    </row>
    <row r="42" spans="2:36" ht="15" customHeight="1">
      <c r="B42" s="30"/>
      <c r="C42" s="294" t="s">
        <v>56</v>
      </c>
      <c r="D42" s="70">
        <v>0.65</v>
      </c>
      <c r="E42" s="297" t="s">
        <v>57</v>
      </c>
      <c r="F42" s="62"/>
      <c r="G42" s="469"/>
      <c r="H42" s="469"/>
      <c r="I42" s="469"/>
      <c r="J42" s="469"/>
      <c r="K42" s="469"/>
      <c r="L42" s="470"/>
      <c r="N42" s="35"/>
      <c r="O42" s="36"/>
      <c r="P42" s="36"/>
      <c r="Q42" s="36"/>
      <c r="R42" s="36"/>
      <c r="S42" s="36"/>
      <c r="T42" s="36"/>
      <c r="U42" s="36"/>
      <c r="V42" s="211"/>
      <c r="W42" s="211"/>
      <c r="X42" s="211"/>
      <c r="Y42" s="211"/>
      <c r="Z42" s="211"/>
      <c r="AA42" s="211"/>
      <c r="AB42" s="211"/>
      <c r="AC42" s="45"/>
      <c r="AE42" s="371"/>
      <c r="AF42" s="347"/>
      <c r="AG42" s="347"/>
      <c r="AH42" s="347"/>
      <c r="AI42" s="347"/>
      <c r="AJ42" s="372"/>
    </row>
    <row r="43" spans="2:36" ht="15" customHeight="1">
      <c r="B43" s="30"/>
      <c r="C43" s="115"/>
      <c r="D43" s="115"/>
      <c r="E43" s="115"/>
      <c r="F43" s="115"/>
      <c r="G43" s="469"/>
      <c r="H43" s="469"/>
      <c r="I43" s="469"/>
      <c r="J43" s="469"/>
      <c r="K43" s="469"/>
      <c r="L43" s="470"/>
      <c r="N43" s="35"/>
      <c r="O43" s="36"/>
      <c r="P43" s="36"/>
      <c r="Q43" s="36"/>
      <c r="R43" s="36"/>
      <c r="S43" s="36"/>
      <c r="T43" s="36"/>
      <c r="U43" s="36"/>
      <c r="V43" s="211"/>
      <c r="W43" s="211"/>
      <c r="X43" s="211"/>
      <c r="Y43" s="211"/>
      <c r="Z43" s="211"/>
      <c r="AA43" s="211"/>
      <c r="AB43" s="211"/>
      <c r="AC43" s="45"/>
      <c r="AE43" s="371"/>
      <c r="AF43" s="431" t="s">
        <v>558</v>
      </c>
      <c r="AG43" s="431"/>
      <c r="AH43" s="381" t="str">
        <f>IF(Check_Færdighedsgrad=1,ABS(AH33)/ABS(INDEX(Tidstabel[KF_Forsyning],MATCH(1,Tidstabel[År],0))),"Afventer")</f>
        <v>Afventer</v>
      </c>
      <c r="AI43" s="377" t="s">
        <v>55</v>
      </c>
      <c r="AJ43" s="372"/>
    </row>
    <row r="44" spans="2:36" ht="14.45" customHeight="1">
      <c r="B44" s="30"/>
      <c r="C44" s="453" t="s">
        <v>354</v>
      </c>
      <c r="D44" s="453"/>
      <c r="E44" s="453"/>
      <c r="F44" s="453"/>
      <c r="G44" s="453"/>
      <c r="H44" s="453"/>
      <c r="I44" s="453"/>
      <c r="J44" s="453"/>
      <c r="K44" s="453"/>
      <c r="L44" s="462"/>
      <c r="N44" s="35"/>
      <c r="O44" s="36"/>
      <c r="P44" s="36"/>
      <c r="Q44" s="36"/>
      <c r="R44" s="36"/>
      <c r="S44" s="36"/>
      <c r="T44" s="36"/>
      <c r="U44" s="36"/>
      <c r="V44" s="211"/>
      <c r="W44" s="211"/>
      <c r="X44" s="211"/>
      <c r="Y44" s="211"/>
      <c r="Z44" s="211"/>
      <c r="AA44" s="211"/>
      <c r="AB44" s="211"/>
      <c r="AC44" s="45"/>
      <c r="AE44" s="371"/>
      <c r="AF44" s="427" t="s">
        <v>557</v>
      </c>
      <c r="AG44" s="427"/>
      <c r="AH44" s="385" t="str">
        <f>IF(LCC_Rentabel_År=-10,IF(Check_Færdighedsgrad=1,IF(INDEX(Tidstabel[NPV_Klimafacade],MATCH(0,Tidstabel[År],0))&gt;INDEX(Tidstabel[NPV_Eksisterende],MATCH(0,Tidstabel[År],0)),0,"-"),"Afventer"),LCC_Rentabel_År)</f>
        <v>Afventer</v>
      </c>
      <c r="AI44" s="377" t="s">
        <v>55</v>
      </c>
      <c r="AJ44" s="372"/>
    </row>
    <row r="45" spans="2:36" ht="14.45" customHeight="1">
      <c r="B45" s="30"/>
      <c r="C45" s="453"/>
      <c r="D45" s="453"/>
      <c r="E45" s="453"/>
      <c r="F45" s="453"/>
      <c r="G45" s="453"/>
      <c r="H45" s="453"/>
      <c r="I45" s="453"/>
      <c r="J45" s="453"/>
      <c r="K45" s="453"/>
      <c r="L45" s="462"/>
      <c r="N45" s="35"/>
      <c r="O45" s="36"/>
      <c r="P45" s="36"/>
      <c r="Q45" s="36"/>
      <c r="R45" s="36"/>
      <c r="S45" s="36"/>
      <c r="T45" s="36"/>
      <c r="U45" s="36"/>
      <c r="V45" s="211"/>
      <c r="W45" s="211"/>
      <c r="X45" s="211"/>
      <c r="Y45" s="211"/>
      <c r="Z45" s="211"/>
      <c r="AA45" s="211"/>
      <c r="AB45" s="211"/>
      <c r="AC45" s="45"/>
      <c r="AE45" s="371"/>
      <c r="AF45" s="367"/>
      <c r="AG45" s="367"/>
      <c r="AH45" s="367"/>
      <c r="AI45" s="367"/>
      <c r="AJ45" s="372"/>
    </row>
    <row r="46" spans="2:36" ht="14.45" customHeight="1">
      <c r="B46" s="30"/>
      <c r="C46" s="453"/>
      <c r="D46" s="453"/>
      <c r="E46" s="453"/>
      <c r="F46" s="453"/>
      <c r="G46" s="453"/>
      <c r="H46" s="453"/>
      <c r="I46" s="453"/>
      <c r="J46" s="453"/>
      <c r="K46" s="453"/>
      <c r="L46" s="462"/>
      <c r="N46" s="35"/>
      <c r="O46" s="36"/>
      <c r="P46" s="36"/>
      <c r="Q46" s="36"/>
      <c r="R46" s="36"/>
      <c r="S46" s="36"/>
      <c r="T46" s="36"/>
      <c r="U46" s="36"/>
      <c r="V46" s="211"/>
      <c r="W46" s="211"/>
      <c r="X46" s="211"/>
      <c r="Y46" s="211"/>
      <c r="Z46" s="211"/>
      <c r="AA46" s="211"/>
      <c r="AB46" s="211"/>
      <c r="AC46" s="45"/>
      <c r="AE46" s="371"/>
      <c r="AF46" s="432" t="s">
        <v>560</v>
      </c>
      <c r="AG46" s="432"/>
      <c r="AH46" s="432"/>
      <c r="AI46" s="432"/>
      <c r="AJ46" s="372"/>
    </row>
    <row r="47" spans="2:36" ht="14.45" customHeight="1">
      <c r="B47" s="30"/>
      <c r="C47" s="453"/>
      <c r="D47" s="453"/>
      <c r="E47" s="453"/>
      <c r="F47" s="453"/>
      <c r="G47" s="453"/>
      <c r="H47" s="453"/>
      <c r="I47" s="453"/>
      <c r="J47" s="453"/>
      <c r="K47" s="453"/>
      <c r="L47" s="462"/>
      <c r="N47" s="35"/>
      <c r="O47" s="36"/>
      <c r="P47" s="36"/>
      <c r="Q47" s="36"/>
      <c r="R47" s="36"/>
      <c r="S47" s="36"/>
      <c r="T47" s="36"/>
      <c r="U47" s="36"/>
      <c r="V47" s="211"/>
      <c r="W47" s="211"/>
      <c r="X47" s="211"/>
      <c r="Y47" s="211"/>
      <c r="Z47" s="211"/>
      <c r="AA47" s="211"/>
      <c r="AB47" s="211"/>
      <c r="AC47" s="45"/>
      <c r="AE47" s="371"/>
      <c r="AF47" s="432"/>
      <c r="AG47" s="432"/>
      <c r="AH47" s="432"/>
      <c r="AI47" s="432"/>
      <c r="AJ47" s="372"/>
    </row>
    <row r="48" spans="2:36" ht="14.45" customHeight="1">
      <c r="B48" s="30"/>
      <c r="C48" s="453"/>
      <c r="D48" s="453"/>
      <c r="E48" s="453"/>
      <c r="F48" s="453"/>
      <c r="G48" s="453"/>
      <c r="H48" s="453"/>
      <c r="I48" s="453"/>
      <c r="J48" s="453"/>
      <c r="K48" s="453"/>
      <c r="L48" s="462"/>
      <c r="N48" s="35"/>
      <c r="O48" s="36"/>
      <c r="P48" s="36"/>
      <c r="Q48" s="36"/>
      <c r="R48" s="36"/>
      <c r="S48" s="36"/>
      <c r="T48" s="36"/>
      <c r="U48" s="36"/>
      <c r="V48" s="211"/>
      <c r="W48" s="211"/>
      <c r="X48" s="211"/>
      <c r="Y48" s="211"/>
      <c r="Z48" s="211"/>
      <c r="AA48" s="211"/>
      <c r="AB48" s="211"/>
      <c r="AC48" s="45"/>
      <c r="AE48" s="371"/>
      <c r="AF48" s="432"/>
      <c r="AG48" s="432"/>
      <c r="AH48" s="432"/>
      <c r="AI48" s="432"/>
      <c r="AJ48" s="372"/>
    </row>
    <row r="49" spans="2:36" ht="14.45" customHeight="1">
      <c r="B49" s="106"/>
      <c r="C49" s="454"/>
      <c r="D49" s="454"/>
      <c r="E49" s="454"/>
      <c r="F49" s="454"/>
      <c r="G49" s="454"/>
      <c r="H49" s="454"/>
      <c r="I49" s="454"/>
      <c r="J49" s="454"/>
      <c r="K49" s="454"/>
      <c r="L49" s="463"/>
      <c r="N49" s="35"/>
      <c r="O49" s="36"/>
      <c r="P49" s="36"/>
      <c r="Q49" s="36"/>
      <c r="R49" s="36"/>
      <c r="S49" s="36"/>
      <c r="T49" s="36"/>
      <c r="U49" s="36"/>
      <c r="V49" s="211"/>
      <c r="W49" s="211"/>
      <c r="X49" s="211"/>
      <c r="Y49" s="211"/>
      <c r="Z49" s="211"/>
      <c r="AA49" s="211"/>
      <c r="AB49" s="211"/>
      <c r="AC49" s="45"/>
      <c r="AE49" s="371"/>
      <c r="AF49" s="432"/>
      <c r="AG49" s="432"/>
      <c r="AH49" s="432"/>
      <c r="AI49" s="432"/>
      <c r="AJ49" s="372"/>
    </row>
    <row r="50" spans="2:36" ht="15" customHeight="1">
      <c r="C50" s="28"/>
      <c r="D50" s="28"/>
      <c r="E50" s="28"/>
      <c r="F50" s="28"/>
      <c r="G50" s="28"/>
      <c r="H50" s="28"/>
      <c r="I50" s="28"/>
      <c r="J50" s="28"/>
      <c r="K50" s="28"/>
      <c r="L50" s="28"/>
      <c r="N50" s="35"/>
      <c r="O50" s="36"/>
      <c r="P50" s="36"/>
      <c r="Q50" s="36"/>
      <c r="R50" s="36"/>
      <c r="S50" s="36"/>
      <c r="T50" s="36"/>
      <c r="U50" s="36"/>
      <c r="V50" s="211"/>
      <c r="W50" s="211"/>
      <c r="X50" s="211"/>
      <c r="Y50" s="211"/>
      <c r="Z50" s="211"/>
      <c r="AA50" s="211"/>
      <c r="AB50" s="211"/>
      <c r="AC50" s="45"/>
      <c r="AE50" s="371"/>
      <c r="AF50" s="432"/>
      <c r="AG50" s="432"/>
      <c r="AH50" s="432"/>
      <c r="AI50" s="432"/>
      <c r="AJ50" s="372"/>
    </row>
    <row r="51" spans="2:36" ht="18.75">
      <c r="B51" s="398"/>
      <c r="C51" s="423" t="s">
        <v>561</v>
      </c>
      <c r="D51" s="423"/>
      <c r="E51" s="423"/>
      <c r="F51" s="423"/>
      <c r="G51" s="423"/>
      <c r="H51" s="423"/>
      <c r="I51" s="423"/>
      <c r="J51" s="423"/>
      <c r="K51" s="423"/>
      <c r="L51" s="424"/>
      <c r="N51" s="35"/>
      <c r="O51" s="36"/>
      <c r="P51" s="36"/>
      <c r="Q51" s="36"/>
      <c r="R51" s="36"/>
      <c r="S51" s="36"/>
      <c r="T51" s="36"/>
      <c r="U51" s="36"/>
      <c r="V51" s="211"/>
      <c r="W51" s="211"/>
      <c r="X51" s="211"/>
      <c r="Y51" s="211"/>
      <c r="Z51" s="211"/>
      <c r="AA51" s="211"/>
      <c r="AB51" s="211"/>
      <c r="AC51" s="45"/>
      <c r="AE51" s="371"/>
      <c r="AF51" s="432"/>
      <c r="AG51" s="432"/>
      <c r="AH51" s="432"/>
      <c r="AI51" s="432"/>
      <c r="AJ51" s="372"/>
    </row>
    <row r="52" spans="2:36" ht="14.45" customHeight="1">
      <c r="B52" s="399"/>
      <c r="C52" s="400"/>
      <c r="D52" s="400"/>
      <c r="E52" s="400"/>
      <c r="F52" s="400"/>
      <c r="G52" s="400"/>
      <c r="H52" s="400"/>
      <c r="I52" s="400"/>
      <c r="J52" s="400"/>
      <c r="K52" s="400"/>
      <c r="L52" s="401"/>
      <c r="N52" s="35"/>
      <c r="O52" s="36"/>
      <c r="P52" s="36"/>
      <c r="Q52" s="36"/>
      <c r="R52" s="36"/>
      <c r="S52" s="36"/>
      <c r="T52" s="36"/>
      <c r="U52" s="36"/>
      <c r="V52" s="211"/>
      <c r="W52" s="211"/>
      <c r="X52" s="211"/>
      <c r="Y52" s="211"/>
      <c r="Z52" s="211"/>
      <c r="AA52" s="211"/>
      <c r="AB52" s="211"/>
      <c r="AC52" s="45"/>
      <c r="AE52" s="371"/>
      <c r="AF52" s="432"/>
      <c r="AG52" s="432"/>
      <c r="AH52" s="432"/>
      <c r="AI52" s="432"/>
      <c r="AJ52" s="372"/>
    </row>
    <row r="53" spans="2:36" ht="15" customHeight="1">
      <c r="B53" s="402"/>
      <c r="C53" s="403"/>
      <c r="D53" s="403"/>
      <c r="E53" s="403"/>
      <c r="F53" s="403"/>
      <c r="G53" s="403"/>
      <c r="H53" s="403"/>
      <c r="I53" s="403"/>
      <c r="J53" s="403"/>
      <c r="K53" s="403"/>
      <c r="L53" s="404"/>
      <c r="N53" s="35"/>
      <c r="O53" s="36"/>
      <c r="P53" s="36"/>
      <c r="Q53" s="36"/>
      <c r="R53" s="36"/>
      <c r="S53" s="36"/>
      <c r="T53" s="36"/>
      <c r="U53" s="36"/>
      <c r="V53" s="211"/>
      <c r="W53" s="211"/>
      <c r="X53" s="211"/>
      <c r="Y53" s="211"/>
      <c r="Z53" s="211"/>
      <c r="AA53" s="211"/>
      <c r="AB53" s="211"/>
      <c r="AC53" s="45"/>
      <c r="AE53" s="371"/>
      <c r="AF53" s="432"/>
      <c r="AG53" s="432"/>
      <c r="AH53" s="432"/>
      <c r="AI53" s="432"/>
      <c r="AJ53" s="372"/>
    </row>
    <row r="54" spans="2:36" ht="14.45" customHeight="1">
      <c r="B54" s="402"/>
      <c r="C54" s="403"/>
      <c r="D54" s="403"/>
      <c r="E54" s="403"/>
      <c r="F54" s="403"/>
      <c r="G54" s="403"/>
      <c r="H54" s="403"/>
      <c r="I54" s="403"/>
      <c r="J54" s="403"/>
      <c r="K54" s="403"/>
      <c r="L54" s="404"/>
      <c r="N54" s="38"/>
      <c r="O54" s="39"/>
      <c r="P54" s="39"/>
      <c r="Q54" s="39"/>
      <c r="R54" s="39"/>
      <c r="S54" s="39"/>
      <c r="T54" s="39"/>
      <c r="U54" s="39"/>
      <c r="V54" s="46"/>
      <c r="W54" s="46"/>
      <c r="X54" s="46"/>
      <c r="Y54" s="46"/>
      <c r="Z54" s="46"/>
      <c r="AA54" s="46"/>
      <c r="AB54" s="46"/>
      <c r="AC54" s="47"/>
      <c r="AE54" s="373"/>
      <c r="AF54" s="374"/>
      <c r="AG54" s="374"/>
      <c r="AH54" s="374"/>
      <c r="AI54" s="374"/>
      <c r="AJ54" s="375"/>
    </row>
    <row r="55" spans="2:36" ht="14.45" customHeight="1">
      <c r="B55" s="402"/>
      <c r="C55" s="403"/>
      <c r="D55" s="403"/>
      <c r="E55" s="403"/>
      <c r="F55" s="403"/>
      <c r="G55" s="403"/>
      <c r="H55" s="403"/>
      <c r="I55" s="403"/>
      <c r="J55" s="403"/>
      <c r="K55" s="403"/>
      <c r="L55" s="404"/>
    </row>
    <row r="56" spans="2:36" ht="14.25" customHeight="1">
      <c r="B56" s="402"/>
      <c r="C56" s="403"/>
      <c r="D56" s="403"/>
      <c r="E56" s="403"/>
      <c r="F56" s="403"/>
      <c r="G56" s="403"/>
      <c r="H56" s="403"/>
      <c r="I56" s="403"/>
      <c r="J56" s="403"/>
      <c r="K56" s="403"/>
      <c r="L56" s="404"/>
    </row>
    <row r="57" spans="2:36" ht="15" customHeight="1">
      <c r="B57" s="402"/>
      <c r="C57" s="403"/>
      <c r="D57" s="403"/>
      <c r="E57" s="403"/>
      <c r="F57" s="403"/>
      <c r="G57" s="403"/>
      <c r="H57" s="403"/>
      <c r="I57" s="403"/>
      <c r="J57" s="403"/>
      <c r="K57" s="403"/>
      <c r="L57" s="404"/>
    </row>
    <row r="58" spans="2:36" ht="14.45" customHeight="1">
      <c r="B58" s="402"/>
      <c r="C58" s="403"/>
      <c r="D58" s="403"/>
      <c r="E58" s="403"/>
      <c r="F58" s="403"/>
      <c r="G58" s="403"/>
      <c r="H58" s="403"/>
      <c r="I58" s="403"/>
      <c r="J58" s="403"/>
      <c r="K58" s="403"/>
      <c r="L58" s="404"/>
    </row>
    <row r="59" spans="2:36" ht="14.45" customHeight="1">
      <c r="B59" s="402"/>
      <c r="C59" s="403"/>
      <c r="D59" s="403"/>
      <c r="E59" s="403"/>
      <c r="F59" s="403"/>
      <c r="G59" s="403"/>
      <c r="H59" s="403"/>
      <c r="I59" s="403"/>
      <c r="J59" s="403"/>
      <c r="K59" s="403"/>
      <c r="L59" s="404"/>
    </row>
    <row r="60" spans="2:36" ht="14.45" customHeight="1">
      <c r="B60" s="402"/>
      <c r="C60" s="403"/>
      <c r="D60" s="403"/>
      <c r="E60" s="403"/>
      <c r="F60" s="403"/>
      <c r="G60" s="403"/>
      <c r="H60" s="403"/>
      <c r="I60" s="403"/>
      <c r="J60" s="403"/>
      <c r="K60" s="403"/>
      <c r="L60" s="404"/>
    </row>
    <row r="61" spans="2:36" ht="15" customHeight="1">
      <c r="B61" s="402"/>
      <c r="C61" s="403"/>
      <c r="D61" s="403"/>
      <c r="E61" s="403"/>
      <c r="F61" s="403"/>
      <c r="G61" s="403"/>
      <c r="H61" s="403"/>
      <c r="I61" s="403"/>
      <c r="J61" s="403"/>
      <c r="K61" s="403"/>
      <c r="L61" s="404"/>
    </row>
    <row r="62" spans="2:36" ht="14.45" customHeight="1">
      <c r="B62" s="402"/>
      <c r="C62" s="403"/>
      <c r="D62" s="403"/>
      <c r="E62" s="403"/>
      <c r="F62" s="403"/>
      <c r="G62" s="403"/>
      <c r="H62" s="403"/>
      <c r="I62" s="403"/>
      <c r="J62" s="403"/>
      <c r="K62" s="403"/>
      <c r="L62" s="404"/>
    </row>
    <row r="63" spans="2:36" ht="14.45" customHeight="1">
      <c r="B63" s="402"/>
      <c r="C63" s="403"/>
      <c r="D63" s="403"/>
      <c r="E63" s="403"/>
      <c r="F63" s="403"/>
      <c r="G63" s="403"/>
      <c r="H63" s="403"/>
      <c r="I63" s="403"/>
      <c r="J63" s="403"/>
      <c r="K63" s="403"/>
      <c r="L63" s="404"/>
    </row>
    <row r="64" spans="2:36" ht="14.45" customHeight="1">
      <c r="B64" s="402"/>
      <c r="C64" s="403"/>
      <c r="D64" s="403"/>
      <c r="E64" s="403"/>
      <c r="F64" s="403"/>
      <c r="G64" s="403"/>
      <c r="H64" s="403"/>
      <c r="I64" s="403"/>
      <c r="J64" s="403"/>
      <c r="K64" s="403"/>
      <c r="L64" s="404"/>
    </row>
    <row r="65" spans="2:12" ht="14.45" customHeight="1">
      <c r="B65" s="402"/>
      <c r="C65" s="403"/>
      <c r="D65" s="403"/>
      <c r="E65" s="403"/>
      <c r="F65" s="403"/>
      <c r="G65" s="403"/>
      <c r="H65" s="403"/>
      <c r="I65" s="403"/>
      <c r="J65" s="403"/>
      <c r="K65" s="403"/>
      <c r="L65" s="404"/>
    </row>
    <row r="66" spans="2:12" ht="14.45" customHeight="1">
      <c r="B66" s="402"/>
      <c r="C66" s="403"/>
      <c r="D66" s="403"/>
      <c r="E66" s="403"/>
      <c r="F66" s="403"/>
      <c r="G66" s="403"/>
      <c r="H66" s="403"/>
      <c r="I66" s="403"/>
      <c r="J66" s="403"/>
      <c r="K66" s="403"/>
      <c r="L66" s="404"/>
    </row>
    <row r="67" spans="2:12" ht="14.45" customHeight="1">
      <c r="B67" s="402"/>
      <c r="C67" s="403"/>
      <c r="D67" s="403"/>
      <c r="E67" s="403"/>
      <c r="F67" s="403"/>
      <c r="G67" s="403"/>
      <c r="H67" s="403"/>
      <c r="I67" s="403"/>
      <c r="J67" s="403"/>
      <c r="K67" s="403"/>
      <c r="L67" s="404"/>
    </row>
    <row r="68" spans="2:12" ht="14.45" customHeight="1">
      <c r="B68" s="402"/>
      <c r="C68" s="403"/>
      <c r="D68" s="403"/>
      <c r="E68" s="403"/>
      <c r="F68" s="403"/>
      <c r="G68" s="403"/>
      <c r="H68" s="403"/>
      <c r="I68" s="403"/>
      <c r="J68" s="403"/>
      <c r="K68" s="403"/>
      <c r="L68" s="404"/>
    </row>
    <row r="69" spans="2:12" ht="14.45" customHeight="1">
      <c r="B69" s="402"/>
      <c r="C69" s="403"/>
      <c r="D69" s="403"/>
      <c r="E69" s="403"/>
      <c r="F69" s="403"/>
      <c r="G69" s="403"/>
      <c r="H69" s="403"/>
      <c r="I69" s="403"/>
      <c r="J69" s="403"/>
      <c r="K69" s="403"/>
      <c r="L69" s="404"/>
    </row>
    <row r="70" spans="2:12" ht="14.45" customHeight="1">
      <c r="B70" s="402"/>
      <c r="C70" s="403"/>
      <c r="D70" s="403"/>
      <c r="E70" s="403"/>
      <c r="F70" s="403"/>
      <c r="G70" s="403"/>
      <c r="H70" s="403"/>
      <c r="I70" s="403"/>
      <c r="J70" s="403"/>
      <c r="K70" s="403"/>
      <c r="L70" s="404"/>
    </row>
    <row r="71" spans="2:12" ht="14.45" customHeight="1">
      <c r="B71" s="402"/>
      <c r="C71" s="403"/>
      <c r="D71" s="403"/>
      <c r="E71" s="403"/>
      <c r="F71" s="403"/>
      <c r="G71" s="403"/>
      <c r="H71" s="403"/>
      <c r="I71" s="403"/>
      <c r="J71" s="403"/>
      <c r="K71" s="403"/>
      <c r="L71" s="404"/>
    </row>
    <row r="72" spans="2:12" ht="14.45" customHeight="1">
      <c r="B72" s="402"/>
      <c r="C72" s="403"/>
      <c r="D72" s="403"/>
      <c r="E72" s="403"/>
      <c r="F72" s="403"/>
      <c r="G72" s="403"/>
      <c r="H72" s="403"/>
      <c r="I72" s="403"/>
      <c r="J72" s="403"/>
      <c r="K72" s="403"/>
      <c r="L72" s="404"/>
    </row>
    <row r="73" spans="2:12" ht="14.45" customHeight="1">
      <c r="B73" s="408"/>
      <c r="C73" s="409"/>
      <c r="D73" s="410"/>
      <c r="E73" s="411"/>
      <c r="F73" s="411"/>
      <c r="G73" s="411"/>
      <c r="H73" s="411"/>
      <c r="I73" s="409"/>
      <c r="J73" s="409"/>
      <c r="K73" s="409"/>
      <c r="L73" s="412"/>
    </row>
    <row r="74" spans="2:12" ht="14.45" customHeight="1">
      <c r="B74" s="405"/>
      <c r="C74" s="406"/>
      <c r="D74" s="406"/>
      <c r="E74" s="406"/>
      <c r="F74" s="406"/>
      <c r="G74" s="406"/>
      <c r="H74" s="406"/>
      <c r="I74" s="406"/>
      <c r="J74" s="406"/>
      <c r="K74" s="406"/>
      <c r="L74" s="407"/>
    </row>
    <row r="75" spans="2:12" ht="14.45" customHeight="1"/>
  </sheetData>
  <sheetProtection algorithmName="SHA-512" hashValue="zEJzaSzHqSLhfQPr9ptoX4hnVRrTmv8OyZhzw0861xRTIfaHtYd5CXa9gSsLNZ6ISoomTjzK+6BU/txpi+tDrw==" saltValue="KtMUSn7w8TDXMz7/w/dA0Q==" spinCount="100000" sheet="1" objects="1" scenarios="1"/>
  <protectedRanges>
    <protectedRange sqref="D40:D42" name="InputTidFjernvarme"/>
    <protectedRange sqref="G26:H26 J24:J28 G24:I25 G27:I28 D24:F28" name="InputMaterialevalg"/>
    <protectedRange sqref="C13" name="InputEksisterendeFacade"/>
  </protectedRanges>
  <mergeCells count="37">
    <mergeCell ref="C44:L49"/>
    <mergeCell ref="D28:I28"/>
    <mergeCell ref="C39:E39"/>
    <mergeCell ref="D26:F26"/>
    <mergeCell ref="C33:L35"/>
    <mergeCell ref="G39:L43"/>
    <mergeCell ref="O2:AB2"/>
    <mergeCell ref="C2:K2"/>
    <mergeCell ref="D24:I24"/>
    <mergeCell ref="C4:L4"/>
    <mergeCell ref="C10:L10"/>
    <mergeCell ref="D23:I23"/>
    <mergeCell ref="C21:L21"/>
    <mergeCell ref="C22:I22"/>
    <mergeCell ref="C12:J12"/>
    <mergeCell ref="C13:J13"/>
    <mergeCell ref="C18:K19"/>
    <mergeCell ref="C14:K17"/>
    <mergeCell ref="V4:AC4"/>
    <mergeCell ref="O4:R4"/>
    <mergeCell ref="C5:L8"/>
    <mergeCell ref="C51:L51"/>
    <mergeCell ref="C29:K32"/>
    <mergeCell ref="AF4:AI4"/>
    <mergeCell ref="AF14:AG14"/>
    <mergeCell ref="AG40:AH40"/>
    <mergeCell ref="AG12:AH12"/>
    <mergeCell ref="AF43:AG43"/>
    <mergeCell ref="AF44:AG44"/>
    <mergeCell ref="AF30:AI30"/>
    <mergeCell ref="AF46:AI53"/>
    <mergeCell ref="G26:I26"/>
    <mergeCell ref="D27:I27"/>
    <mergeCell ref="V30:AC30"/>
    <mergeCell ref="C37:L37"/>
    <mergeCell ref="O30:R30"/>
    <mergeCell ref="D25:I25"/>
  </mergeCells>
  <conditionalFormatting sqref="B18:B19 B22:B24 C23:D28 J24:K28 L26:L30 B29:C30 C39:F39 C40:D42 M17:M19 M21:M30 N34:N36 M38:M41">
    <cfRule type="containsText" dxfId="36" priority="37" operator="containsText" text="&gt;">
      <formula>NOT(ISERROR(SEARCH("&gt;",B17)))</formula>
    </cfRule>
  </conditionalFormatting>
  <conditionalFormatting sqref="B2:C2 B3:L3 T4 B4:C6 B7:B8 B9:L9 B10:C10 I11 B11:B19 C12:C13 C18 B21:C21 B22:B23 L22:L23 D23:I25 J23:K28 C23:C30 B24:L24 L25:L30 B25:B35 D26 G26:H26 D27:I28 C33 B37:C37 B38:B49 C39:F42 C44 B52:L72 B74:L74">
    <cfRule type="beginsWith" dxfId="35" priority="32" operator="beginsWith" text="&gt;">
      <formula>LEFT(B2,LEN("&gt;"))="&gt;"</formula>
    </cfRule>
  </conditionalFormatting>
  <conditionalFormatting sqref="B51:C51">
    <cfRule type="beginsWith" dxfId="34" priority="3" operator="beginsWith" text="&gt;">
      <formula>LEFT(B51,LEN("&gt;"))="&gt;"</formula>
    </cfRule>
  </conditionalFormatting>
  <conditionalFormatting sqref="G26:H26 E41:F41">
    <cfRule type="containsText" dxfId="33" priority="38" operator="containsText" text="&gt;">
      <formula>NOT(ISERROR(SEARCH("&gt;",E26)))</formula>
    </cfRule>
  </conditionalFormatting>
  <conditionalFormatting sqref="G26:I26">
    <cfRule type="containsText" dxfId="32" priority="10" operator="containsText" text="Afventer">
      <formula>NOT(ISERROR(SEARCH("Afventer",G26)))</formula>
    </cfRule>
  </conditionalFormatting>
  <conditionalFormatting sqref="T4">
    <cfRule type="cellIs" dxfId="31" priority="22" operator="greaterThan">
      <formula>-1</formula>
    </cfRule>
    <cfRule type="dataBar" priority="31">
      <dataBar showValue="0">
        <cfvo type="num" val="0"/>
        <cfvo type="num" val="1"/>
        <color rgb="FF63C384"/>
      </dataBar>
      <extLst>
        <ext xmlns:x14="http://schemas.microsoft.com/office/spreadsheetml/2009/9/main" uri="{B025F937-C7B1-47D3-B67F-A62EFF666E3E}">
          <x14:id>{C94FFE49-B40A-4F66-B5FD-1F1910649B8D}</x14:id>
        </ext>
      </extLst>
    </cfRule>
  </conditionalFormatting>
  <conditionalFormatting sqref="T30">
    <cfRule type="cellIs" dxfId="30" priority="19" operator="greaterThan">
      <formula>-1</formula>
    </cfRule>
    <cfRule type="dataBar" priority="20">
      <dataBar showValue="0">
        <cfvo type="num" val="0"/>
        <cfvo type="num" val="1"/>
        <color rgb="FF63C384"/>
      </dataBar>
      <extLst>
        <ext xmlns:x14="http://schemas.microsoft.com/office/spreadsheetml/2009/9/main" uri="{B025F937-C7B1-47D3-B67F-A62EFF666E3E}">
          <x14:id>{4975AF62-F914-440F-8C5E-507ECA3639EA}</x14:id>
        </ext>
      </extLst>
    </cfRule>
    <cfRule type="beginsWith" dxfId="29" priority="21" operator="beginsWith" text="&gt;">
      <formula>LEFT(T30,LEN("&gt;"))="&gt;"</formula>
    </cfRule>
  </conditionalFormatting>
  <conditionalFormatting sqref="AG12">
    <cfRule type="cellIs" dxfId="28" priority="5" operator="lessThan">
      <formula>0</formula>
    </cfRule>
    <cfRule type="cellIs" dxfId="27" priority="6" operator="greaterThan">
      <formula>0</formula>
    </cfRule>
  </conditionalFormatting>
  <conditionalFormatting sqref="AG40">
    <cfRule type="cellIs" dxfId="26" priority="7" operator="lessThan">
      <formula>0</formula>
    </cfRule>
    <cfRule type="cellIs" dxfId="25" priority="8" operator="greaterThan">
      <formula>0</formula>
    </cfRule>
  </conditionalFormatting>
  <conditionalFormatting sqref="AG12:AH12 AH14 AG40:AH40 AH43:AH44">
    <cfRule type="containsText" dxfId="24" priority="4" operator="containsText" text="Afventer">
      <formula>NOT(ISERROR(SEARCH("Afventer",AG12)))</formula>
    </cfRule>
  </conditionalFormatting>
  <conditionalFormatting sqref="AH14 AH44">
    <cfRule type="cellIs" dxfId="23" priority="9" operator="between">
      <formula>0</formula>
      <formula>80</formula>
    </cfRule>
  </conditionalFormatting>
  <dataValidations count="10">
    <dataValidation type="list" showInputMessage="1" showErrorMessage="1" sqref="D41" xr:uid="{545BCBD3-84F2-44D7-A32B-64DB49FB6553}">
      <formula1>Vælg_Tidshorisont</formula1>
    </dataValidation>
    <dataValidation type="list" showInputMessage="1" showErrorMessage="1" sqref="D28" xr:uid="{AFC3986B-9446-4389-B8D2-226FCFEC6F91}">
      <formula1>Vælg_Skelet</formula1>
    </dataValidation>
    <dataValidation type="list" showInputMessage="1" showErrorMessage="1" sqref="D27" xr:uid="{38E9EBD6-9B16-4CFC-806C-B27D57D08649}">
      <formula1>Vælg_Afstandsprofil</formula1>
    </dataValidation>
    <dataValidation type="list" showInputMessage="1" showErrorMessage="1" sqref="D26" xr:uid="{8491C8DD-F82B-47D1-9CB2-A67F2D82A6A2}">
      <formula1>Vælg_Isolering</formula1>
    </dataValidation>
    <dataValidation type="list" showInputMessage="1" showErrorMessage="1" sqref="D24" xr:uid="{4D5D1CB2-2476-44DF-9CAF-980393030505}">
      <formula1>Vælg_Facadebeklædning</formula1>
    </dataValidation>
    <dataValidation type="list" showInputMessage="1" showErrorMessage="1" sqref="D25" xr:uid="{C1B3F233-1B86-4CE6-A5A9-7E4843C96267}">
      <formula1>Vælg_Vindspærre</formula1>
    </dataValidation>
    <dataValidation type="list" operator="greaterThanOrEqual" allowBlank="1" showInputMessage="1" showErrorMessage="1" sqref="D40" xr:uid="{3F429C2B-889A-488F-B48A-C328DB9EEB66}">
      <formula1>Vælg_Etableringsår</formula1>
    </dataValidation>
    <dataValidation type="list" allowBlank="1" showInputMessage="1" showErrorMessage="1" sqref="C13" xr:uid="{DE154E79-C834-4D47-B47A-75DAF24DCD34}">
      <formula1>Vælg_EksisterendeFacade</formula1>
    </dataValidation>
    <dataValidation type="decimal" showErrorMessage="1" errorTitle="Fejl" error="Indtast en værdi mellem 0 og 100%" sqref="J24:J28" xr:uid="{3F7C6DF0-895A-44C7-AE81-090B48DD7177}">
      <formula1>0</formula1>
      <formula2>1</formula2>
    </dataValidation>
    <dataValidation type="decimal" allowBlank="1" showInputMessage="1" showErrorMessage="1" promptTitle="Fjernvarmepris" prompt="Indtast den variable del af fjernvarmeprisen ekskl. moms._x000a_I mangel af bedre kan du indtaste 0,65 kr/kWh som er median-prisen for fjernvarme på landsplan ifølge forsyningstilsynets prisstatistik." sqref="D42" xr:uid="{2380AE62-A7F3-44D7-BCCE-70CF328DDD16}">
      <formula1>0</formula1>
      <formula2>10</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C94FFE49-B40A-4F66-B5FD-1F1910649B8D}">
            <x14:dataBar minLength="0" maxLength="100" direction="leftToRight">
              <x14:cfvo type="num">
                <xm:f>0</xm:f>
              </x14:cfvo>
              <x14:cfvo type="num">
                <xm:f>1</xm:f>
              </x14:cfvo>
              <x14:negativeFillColor theme="1"/>
              <x14:axisColor rgb="FF000000"/>
            </x14:dataBar>
          </x14:cfRule>
          <xm:sqref>T4</xm:sqref>
        </x14:conditionalFormatting>
        <x14:conditionalFormatting xmlns:xm="http://schemas.microsoft.com/office/excel/2006/main">
          <x14:cfRule type="dataBar" id="{4975AF62-F914-440F-8C5E-507ECA3639EA}">
            <x14:dataBar minLength="0" maxLength="100" direction="leftToRight">
              <x14:cfvo type="num">
                <xm:f>0</xm:f>
              </x14:cfvo>
              <x14:cfvo type="num">
                <xm:f>1</xm:f>
              </x14:cfvo>
              <x14:negativeFillColor theme="1"/>
              <x14:axisColor rgb="FF000000"/>
            </x14:dataBar>
          </x14:cfRule>
          <xm:sqref>T30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38A29-A09C-4794-B5E9-57A0EB3A5DC6}">
  <sheetPr>
    <tabColor rgb="FF0F5641"/>
  </sheetPr>
  <dimension ref="A1:D67"/>
  <sheetViews>
    <sheetView zoomScaleNormal="100" workbookViewId="0">
      <selection activeCell="B1" sqref="B1:C1"/>
    </sheetView>
  </sheetViews>
  <sheetFormatPr defaultColWidth="0" defaultRowHeight="15" zeroHeight="1"/>
  <cols>
    <col min="1" max="1" width="6" style="19" customWidth="1"/>
    <col min="2" max="2" width="12.85546875" style="19" customWidth="1"/>
    <col min="3" max="3" width="112.42578125" style="19" customWidth="1"/>
    <col min="4" max="4" width="5.85546875" style="19" customWidth="1"/>
    <col min="5" max="16384" width="12" style="19" hidden="1"/>
  </cols>
  <sheetData>
    <row r="1" spans="1:3" ht="26.25">
      <c r="A1" s="74"/>
      <c r="B1" s="479" t="s">
        <v>293</v>
      </c>
      <c r="C1" s="479"/>
    </row>
    <row r="2" spans="1:3" ht="15.95" customHeight="1">
      <c r="A2" s="74"/>
      <c r="B2" s="89"/>
      <c r="C2" s="89"/>
    </row>
    <row r="3" spans="1:3" ht="36" customHeight="1">
      <c r="A3" s="74"/>
      <c r="B3" s="480" t="s">
        <v>247</v>
      </c>
      <c r="C3" s="480"/>
    </row>
    <row r="4" spans="1:3">
      <c r="A4" s="75"/>
      <c r="B4" s="75"/>
      <c r="C4" s="75"/>
    </row>
    <row r="5" spans="1:3" ht="21">
      <c r="A5" s="76"/>
      <c r="B5" s="481" t="s">
        <v>58</v>
      </c>
      <c r="C5" s="481"/>
    </row>
    <row r="6" spans="1:3" ht="17.25" customHeight="1">
      <c r="A6" s="76"/>
      <c r="B6" s="76"/>
      <c r="C6" s="75"/>
    </row>
    <row r="7" spans="1:3" s="91" customFormat="1" ht="81" customHeight="1">
      <c r="A7" s="90"/>
      <c r="B7" s="418" t="s">
        <v>339</v>
      </c>
      <c r="C7" s="418"/>
    </row>
    <row r="8" spans="1:3" s="91" customFormat="1" ht="15.75">
      <c r="A8" s="90"/>
      <c r="B8" s="482" t="s">
        <v>256</v>
      </c>
      <c r="C8" s="482"/>
    </row>
    <row r="9" spans="1:3" ht="17.25" customHeight="1">
      <c r="A9" s="75"/>
      <c r="B9" s="75"/>
      <c r="C9" s="75"/>
    </row>
    <row r="10" spans="1:3" ht="18.75">
      <c r="A10" s="75"/>
      <c r="B10" s="475" t="s">
        <v>59</v>
      </c>
      <c r="C10" s="475"/>
    </row>
    <row r="11" spans="1:3" ht="15.75">
      <c r="A11" s="75"/>
      <c r="B11" s="92"/>
      <c r="C11" s="92"/>
    </row>
    <row r="12" spans="1:3" ht="56.45" customHeight="1">
      <c r="A12" s="75"/>
      <c r="B12" s="476" t="s">
        <v>349</v>
      </c>
      <c r="C12" s="477"/>
    </row>
    <row r="13" spans="1:3" ht="20.25" customHeight="1">
      <c r="A13" s="75"/>
      <c r="B13" s="101" t="s">
        <v>60</v>
      </c>
      <c r="C13" s="83" t="s">
        <v>61</v>
      </c>
    </row>
    <row r="14" spans="1:3" ht="20.25" customHeight="1">
      <c r="A14" s="75"/>
      <c r="B14" s="101" t="s">
        <v>62</v>
      </c>
      <c r="C14" s="84" t="s">
        <v>63</v>
      </c>
    </row>
    <row r="15" spans="1:3" ht="20.25" customHeight="1">
      <c r="A15" s="75"/>
      <c r="B15" s="101" t="s">
        <v>64</v>
      </c>
      <c r="C15" s="84" t="s">
        <v>65</v>
      </c>
    </row>
    <row r="16" spans="1:3" ht="20.25" customHeight="1">
      <c r="A16" s="75"/>
      <c r="B16" s="101" t="s">
        <v>66</v>
      </c>
      <c r="C16" s="85" t="s">
        <v>67</v>
      </c>
    </row>
    <row r="17" spans="1:3" ht="20.25" customHeight="1">
      <c r="A17" s="75"/>
      <c r="B17" s="101" t="s">
        <v>68</v>
      </c>
      <c r="C17" s="85" t="s">
        <v>69</v>
      </c>
    </row>
    <row r="18" spans="1:3" ht="20.25" customHeight="1">
      <c r="A18" s="75"/>
      <c r="B18" s="101" t="s">
        <v>70</v>
      </c>
      <c r="C18" s="85" t="s">
        <v>71</v>
      </c>
    </row>
    <row r="19" spans="1:3" ht="20.25" customHeight="1">
      <c r="A19" s="75"/>
      <c r="B19" s="101" t="s">
        <v>72</v>
      </c>
      <c r="C19" s="85" t="s">
        <v>73</v>
      </c>
    </row>
    <row r="20" spans="1:3" ht="20.25" customHeight="1">
      <c r="A20" s="75"/>
      <c r="B20" s="101" t="s">
        <v>74</v>
      </c>
      <c r="C20" s="85" t="s">
        <v>75</v>
      </c>
    </row>
    <row r="21" spans="1:3" ht="20.25" customHeight="1">
      <c r="A21" s="75"/>
      <c r="B21" s="101"/>
      <c r="C21" s="85"/>
    </row>
    <row r="22" spans="1:3" ht="66" customHeight="1">
      <c r="A22" s="75"/>
      <c r="B22" s="474" t="s">
        <v>342</v>
      </c>
      <c r="C22" s="474"/>
    </row>
    <row r="23" spans="1:3" ht="60" customHeight="1">
      <c r="A23" s="75"/>
      <c r="B23" s="82"/>
      <c r="C23" s="82"/>
    </row>
    <row r="24" spans="1:3" ht="60" customHeight="1">
      <c r="A24" s="75"/>
      <c r="B24" s="82"/>
      <c r="C24" s="82"/>
    </row>
    <row r="25" spans="1:3" ht="60" customHeight="1">
      <c r="A25" s="75"/>
      <c r="B25" s="82"/>
      <c r="C25" s="82"/>
    </row>
    <row r="26" spans="1:3" ht="60" customHeight="1">
      <c r="A26" s="75"/>
      <c r="B26" s="82"/>
      <c r="C26" s="82"/>
    </row>
    <row r="27" spans="1:3" ht="92.45" customHeight="1">
      <c r="A27" s="75"/>
      <c r="B27" s="82"/>
      <c r="C27" s="82"/>
    </row>
    <row r="28" spans="1:3" ht="35.1" customHeight="1">
      <c r="A28" s="75"/>
      <c r="B28" s="473" t="s">
        <v>76</v>
      </c>
      <c r="C28" s="473"/>
    </row>
    <row r="29" spans="1:3" ht="168.75" customHeight="1">
      <c r="A29" s="75"/>
      <c r="B29" s="474" t="s">
        <v>340</v>
      </c>
      <c r="C29" s="474"/>
    </row>
    <row r="30" spans="1:3" ht="18.75">
      <c r="A30" s="75"/>
      <c r="B30" s="475" t="s">
        <v>77</v>
      </c>
      <c r="C30" s="475"/>
    </row>
    <row r="31" spans="1:3">
      <c r="A31" s="75"/>
      <c r="B31" s="422"/>
      <c r="C31" s="422"/>
    </row>
    <row r="32" spans="1:3" ht="84.75" customHeight="1">
      <c r="A32" s="75"/>
      <c r="B32" s="94" t="s">
        <v>78</v>
      </c>
      <c r="C32" s="86" t="s">
        <v>341</v>
      </c>
    </row>
    <row r="33" spans="1:3" ht="54" customHeight="1">
      <c r="A33" s="75"/>
      <c r="B33" s="94" t="s">
        <v>79</v>
      </c>
      <c r="C33" s="86" t="s">
        <v>343</v>
      </c>
    </row>
    <row r="34" spans="1:3" ht="77.099999999999994" customHeight="1">
      <c r="A34" s="75"/>
      <c r="B34" s="94" t="s">
        <v>66</v>
      </c>
      <c r="C34" s="86" t="s">
        <v>344</v>
      </c>
    </row>
    <row r="35" spans="1:3" ht="74.099999999999994" customHeight="1">
      <c r="A35" s="75"/>
      <c r="B35" s="94" t="s">
        <v>68</v>
      </c>
      <c r="C35" s="81" t="s">
        <v>345</v>
      </c>
    </row>
    <row r="36" spans="1:3" ht="42.95" customHeight="1">
      <c r="A36" s="75"/>
      <c r="B36" s="94" t="s">
        <v>80</v>
      </c>
      <c r="C36" s="81" t="s">
        <v>346</v>
      </c>
    </row>
    <row r="37" spans="1:3" ht="47.25">
      <c r="A37" s="75"/>
      <c r="B37" s="94" t="s">
        <v>74</v>
      </c>
      <c r="C37" s="81" t="s">
        <v>81</v>
      </c>
    </row>
    <row r="38" spans="1:3" ht="15.75">
      <c r="A38" s="75"/>
      <c r="B38" s="94"/>
      <c r="C38" s="93"/>
    </row>
    <row r="39" spans="1:3" ht="18.75">
      <c r="A39" s="75"/>
      <c r="B39" s="478" t="s">
        <v>82</v>
      </c>
      <c r="C39" s="475"/>
    </row>
    <row r="40" spans="1:3" ht="15.75">
      <c r="A40" s="75"/>
      <c r="B40" s="95"/>
      <c r="C40" s="96"/>
    </row>
    <row r="41" spans="1:3" ht="69.75" customHeight="1">
      <c r="A41" s="75"/>
      <c r="B41" s="471" t="s">
        <v>347</v>
      </c>
      <c r="C41" s="472"/>
    </row>
    <row r="42" spans="1:3" ht="15.75">
      <c r="A42" s="75"/>
      <c r="B42" s="94"/>
      <c r="C42" s="93"/>
    </row>
    <row r="43" spans="1:3" ht="18" customHeight="1">
      <c r="A43" s="75"/>
      <c r="B43" s="478" t="s">
        <v>83</v>
      </c>
      <c r="C43" s="475"/>
    </row>
    <row r="44" spans="1:3" ht="15.75">
      <c r="A44" s="75"/>
      <c r="B44" s="95"/>
      <c r="C44" s="96"/>
    </row>
    <row r="45" spans="1:3" ht="21" customHeight="1">
      <c r="A45" s="75"/>
      <c r="B45" s="471" t="s">
        <v>84</v>
      </c>
      <c r="C45" s="472"/>
    </row>
    <row r="46" spans="1:3">
      <c r="A46" s="75"/>
      <c r="B46" s="75"/>
      <c r="C46" s="75"/>
    </row>
    <row r="47" spans="1:3" ht="21">
      <c r="A47" s="74"/>
      <c r="B47" s="416" t="s">
        <v>85</v>
      </c>
      <c r="C47" s="416"/>
    </row>
    <row r="48" spans="1:3" ht="15.75">
      <c r="A48" s="79"/>
      <c r="B48" s="79"/>
      <c r="C48" s="79"/>
    </row>
    <row r="49" spans="1:3" ht="222.75" customHeight="1">
      <c r="A49" s="79"/>
      <c r="B49" s="474" t="s">
        <v>513</v>
      </c>
      <c r="C49" s="474"/>
    </row>
    <row r="50" spans="1:3" ht="15.75" customHeight="1">
      <c r="A50" s="79"/>
      <c r="B50" s="79"/>
      <c r="C50" s="80"/>
    </row>
    <row r="51" spans="1:3" ht="18.75">
      <c r="A51" s="79"/>
      <c r="B51" s="475" t="s">
        <v>295</v>
      </c>
      <c r="C51" s="475"/>
    </row>
    <row r="52" spans="1:3" ht="15.75">
      <c r="A52" s="79"/>
      <c r="B52" s="79"/>
      <c r="C52" s="80"/>
    </row>
    <row r="53" spans="1:3" ht="51.75" customHeight="1">
      <c r="A53" s="79"/>
      <c r="B53" s="483" t="s">
        <v>86</v>
      </c>
      <c r="C53" s="483"/>
    </row>
    <row r="54" spans="1:3" ht="15.75">
      <c r="B54" s="97" t="s">
        <v>87</v>
      </c>
      <c r="C54" s="98">
        <v>3.5000000000000003E-2</v>
      </c>
    </row>
    <row r="55" spans="1:3" ht="15.75">
      <c r="B55" s="97" t="s">
        <v>88</v>
      </c>
      <c r="C55" s="98">
        <v>2.5000000000000001E-2</v>
      </c>
    </row>
    <row r="56" spans="1:3" ht="20.100000000000001" customHeight="1">
      <c r="B56" s="99" t="s">
        <v>89</v>
      </c>
      <c r="C56" s="98">
        <v>1.4999999999999999E-2</v>
      </c>
    </row>
    <row r="57" spans="1:3" s="100" customFormat="1" ht="18" customHeight="1">
      <c r="A57" s="19"/>
      <c r="B57" s="19"/>
      <c r="C57" s="19"/>
    </row>
    <row r="58" spans="1:3" s="100" customFormat="1" ht="18" customHeight="1">
      <c r="A58" s="19"/>
      <c r="B58" s="475" t="s">
        <v>294</v>
      </c>
      <c r="C58" s="475"/>
    </row>
    <row r="59" spans="1:3" s="100" customFormat="1" ht="18" customHeight="1">
      <c r="A59" s="19"/>
      <c r="B59" s="19"/>
      <c r="C59" s="19"/>
    </row>
    <row r="60" spans="1:3" s="100" customFormat="1" ht="72.95" customHeight="1">
      <c r="A60" s="19"/>
      <c r="B60" s="483" t="s">
        <v>90</v>
      </c>
      <c r="C60" s="483"/>
    </row>
    <row r="61" spans="1:3" ht="15.75">
      <c r="A61" s="100"/>
      <c r="B61" s="102" t="s">
        <v>91</v>
      </c>
      <c r="C61" s="103" t="s">
        <v>92</v>
      </c>
    </row>
    <row r="62" spans="1:3" ht="26.25" customHeight="1">
      <c r="A62" s="100"/>
      <c r="B62" s="102" t="s">
        <v>91</v>
      </c>
      <c r="C62" s="103" t="s">
        <v>93</v>
      </c>
    </row>
    <row r="63" spans="1:3" ht="31.5">
      <c r="A63" s="100"/>
      <c r="B63" s="104" t="s">
        <v>91</v>
      </c>
      <c r="C63" s="105" t="s">
        <v>514</v>
      </c>
    </row>
    <row r="64" spans="1:3" ht="96.75" customHeight="1">
      <c r="A64" s="100"/>
      <c r="B64" s="483" t="s">
        <v>515</v>
      </c>
      <c r="C64" s="483"/>
    </row>
    <row r="65" spans="2:3"/>
    <row r="66" spans="2:3" ht="23.25">
      <c r="B66" s="484" t="str">
        <f>HYPERLINK("#Beregner!A1","Gå til beregneren ➝")</f>
        <v>Gå til beregneren ➝</v>
      </c>
      <c r="C66" s="485"/>
    </row>
    <row r="67" spans="2:3"/>
  </sheetData>
  <sheetProtection algorithmName="SHA-512" hashValue="qXWUMovSFha7A6Kw0G7LjSQlsYHHno44QbsQqlwVN2R+hJPlTKSaWuctfptUhDw4aizR7l0znJmLg2drgJANZg==" saltValue="/bMhvZmA1FAn/bJvxX8Pzw==" spinCount="100000" sheet="1" objects="1" scenarios="1"/>
  <mergeCells count="24">
    <mergeCell ref="B64:C64"/>
    <mergeCell ref="B66:C66"/>
    <mergeCell ref="B47:C47"/>
    <mergeCell ref="B49:C49"/>
    <mergeCell ref="B53:C53"/>
    <mergeCell ref="B58:C58"/>
    <mergeCell ref="B60:C60"/>
    <mergeCell ref="B51:C51"/>
    <mergeCell ref="B1:C1"/>
    <mergeCell ref="B3:C3"/>
    <mergeCell ref="B5:C5"/>
    <mergeCell ref="B7:C7"/>
    <mergeCell ref="B10:C10"/>
    <mergeCell ref="B8:C8"/>
    <mergeCell ref="B12:C12"/>
    <mergeCell ref="B29:C29"/>
    <mergeCell ref="B39:C39"/>
    <mergeCell ref="B41:C41"/>
    <mergeCell ref="B43:C43"/>
    <mergeCell ref="B45:C45"/>
    <mergeCell ref="B28:C28"/>
    <mergeCell ref="B22:C22"/>
    <mergeCell ref="B30:C30"/>
    <mergeCell ref="B31:C31"/>
  </mergeCells>
  <hyperlinks>
    <hyperlink ref="B8" r:id="rId1" location="d578ff9b-87e2-42aa-8d81-a08f60c9b3d1" xr:uid="{77D1E139-1B64-4B69-963A-D9E5CE1E7383}"/>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53A6-79D1-4832-8F43-16406D9F7390}">
  <sheetPr>
    <tabColor rgb="FF00B0F0"/>
  </sheetPr>
  <dimension ref="A1:T86"/>
  <sheetViews>
    <sheetView workbookViewId="0">
      <selection sqref="A1:A2"/>
    </sheetView>
  </sheetViews>
  <sheetFormatPr defaultColWidth="0" defaultRowHeight="15" zeroHeight="1"/>
  <cols>
    <col min="1" max="1" width="2.85546875" style="139" customWidth="1"/>
    <col min="2" max="2" width="25.42578125" style="139" bestFit="1" customWidth="1"/>
    <col min="3" max="3" width="23.42578125" customWidth="1"/>
    <col min="4" max="4" width="23.140625" bestFit="1" customWidth="1"/>
    <col min="5" max="5" width="23.7109375" bestFit="1" customWidth="1"/>
    <col min="6" max="6" width="2.42578125" customWidth="1"/>
    <col min="7" max="15" width="7" customWidth="1"/>
    <col min="16" max="20" width="8.7109375" customWidth="1"/>
    <col min="21" max="16384" width="8.7109375" hidden="1"/>
  </cols>
  <sheetData>
    <row r="1" spans="1:20" ht="14.45" customHeight="1">
      <c r="A1" s="486"/>
      <c r="B1" s="488" t="s">
        <v>381</v>
      </c>
      <c r="C1" s="489"/>
      <c r="D1" s="497" t="s">
        <v>45</v>
      </c>
      <c r="E1" s="498"/>
      <c r="F1" s="320"/>
      <c r="G1" s="488" t="s">
        <v>454</v>
      </c>
      <c r="H1" s="501"/>
      <c r="I1" s="501"/>
      <c r="J1" s="489"/>
      <c r="K1" s="19"/>
      <c r="L1" s="497" t="s">
        <v>455</v>
      </c>
      <c r="M1" s="502"/>
      <c r="N1" s="502"/>
      <c r="O1" s="498"/>
      <c r="P1" s="19"/>
      <c r="Q1" s="19"/>
      <c r="R1" s="19"/>
      <c r="S1" s="19"/>
      <c r="T1" s="19"/>
    </row>
    <row r="2" spans="1:20" ht="14.45" customHeight="1">
      <c r="A2" s="487"/>
      <c r="B2" s="490" t="s">
        <v>422</v>
      </c>
      <c r="C2" s="491"/>
      <c r="D2" s="499" t="s">
        <v>453</v>
      </c>
      <c r="E2" s="500"/>
      <c r="F2" s="320"/>
      <c r="G2" s="490" t="s">
        <v>516</v>
      </c>
      <c r="H2" s="496"/>
      <c r="I2" s="496"/>
      <c r="J2" s="491"/>
      <c r="K2" s="19"/>
      <c r="L2" s="499" t="s">
        <v>517</v>
      </c>
      <c r="M2" s="503"/>
      <c r="N2" s="503"/>
      <c r="O2" s="500"/>
      <c r="P2" s="19"/>
      <c r="Q2" s="19"/>
      <c r="R2" s="19"/>
      <c r="S2" s="19"/>
      <c r="T2" s="19"/>
    </row>
    <row r="3" spans="1:20">
      <c r="A3" s="175" t="s">
        <v>102</v>
      </c>
      <c r="B3" s="175" t="s">
        <v>377</v>
      </c>
      <c r="C3" s="175" t="s">
        <v>376</v>
      </c>
      <c r="D3" s="175" t="s">
        <v>451</v>
      </c>
      <c r="E3" s="175" t="s">
        <v>452</v>
      </c>
      <c r="F3" s="320"/>
      <c r="G3" s="492" t="s">
        <v>521</v>
      </c>
      <c r="H3" s="493"/>
      <c r="I3" s="494" t="s">
        <v>520</v>
      </c>
      <c r="J3" s="495"/>
      <c r="K3" s="19"/>
      <c r="L3" s="492" t="s">
        <v>518</v>
      </c>
      <c r="M3" s="493"/>
      <c r="N3" s="494" t="s">
        <v>519</v>
      </c>
      <c r="O3" s="495"/>
      <c r="P3" s="19"/>
      <c r="Q3" s="19"/>
      <c r="R3" s="19"/>
      <c r="S3" s="19"/>
      <c r="T3" s="19"/>
    </row>
    <row r="4" spans="1:20">
      <c r="A4" s="321" cm="1">
        <f t="array" ref="A4:A54">_xlfn.SEQUENCE(Input_Tidshorisont+1,1,0,1)</f>
        <v>0</v>
      </c>
      <c r="B4" s="322" t="str" cm="1">
        <f t="array" aca="1" ref="B4" ca="1">IF(Check_Færdighedsgrad=1,OFFSET(Tidstabel!N7,0,0,Input_Tidshorisont+1,1),"Afventer")</f>
        <v>Afventer</v>
      </c>
      <c r="C4" s="322" t="str" cm="1">
        <f t="array" aca="1" ref="C4" ca="1">IF(Check_Færdighedsgrad=1,OFFSET(Tidstabel!L7,0,0,Input_Tidshorisont+1,1),"Afventer")</f>
        <v>Afventer</v>
      </c>
      <c r="D4" s="322" t="str" cm="1">
        <f t="array" aca="1" ref="D4" ca="1">IF(Check_Færdighedsgrad=1,OFFSET(Tidstabel!AB7,0,0,Input_Tidshorisont+1,1),"Afventer")</f>
        <v>Afventer</v>
      </c>
      <c r="E4" s="322" t="str" cm="1">
        <f t="array" aca="1" ref="E4" ca="1">IF(Check_Færdighedsgrad=1,OFFSET(Tidstabel!AA7,0,0,Input_Tidshorisont+1,1),"Afventer")</f>
        <v>Afventer</v>
      </c>
      <c r="F4" s="320"/>
      <c r="G4" s="200" t="s">
        <v>382</v>
      </c>
      <c r="H4" s="200" t="s">
        <v>383</v>
      </c>
      <c r="I4" s="201" t="s">
        <v>382</v>
      </c>
      <c r="J4" s="201" t="s">
        <v>383</v>
      </c>
      <c r="K4" s="19"/>
      <c r="L4" s="200" t="s">
        <v>382</v>
      </c>
      <c r="M4" s="200" t="s">
        <v>383</v>
      </c>
      <c r="N4" s="201" t="s">
        <v>382</v>
      </c>
      <c r="O4" s="201" t="s">
        <v>383</v>
      </c>
      <c r="P4" s="19"/>
      <c r="Q4" s="19"/>
      <c r="R4" s="19"/>
      <c r="S4" s="19"/>
      <c r="T4" s="19"/>
    </row>
    <row r="5" spans="1:20">
      <c r="A5" s="321">
        <v>1</v>
      </c>
      <c r="B5" s="322"/>
      <c r="C5" s="322"/>
      <c r="D5" s="322"/>
      <c r="E5" s="322"/>
      <c r="F5" s="320"/>
      <c r="G5" s="199">
        <f>IF(Check_Færdighedsgrad=1,IFERROR(VLOOKUP(-1,Tidstabel[[LCA-Skæring]:[LCA-Urentabel_Y]],2,FALSE),-10),-10)</f>
        <v>-10</v>
      </c>
      <c r="H5" s="176">
        <f>IF(Check_Færdighedsgrad=1,IFERROR(VLOOKUP(-1,Tidstabel[[LCA-Skæring]:[LCA-Urentabel_Y]],3,FALSE),0),0)</f>
        <v>0</v>
      </c>
      <c r="I5" s="176">
        <f>IF(Check_Færdighedsgrad=1,IFERROR(VLOOKUP(1,Tidstabel[[LCA-Skæring]:[LCA-Urentabel_Y]],4,FALSE),-10),-10)</f>
        <v>-10</v>
      </c>
      <c r="J5" s="176">
        <f>IF(Check_Færdighedsgrad=1,IFERROR(VLOOKUP(1,Tidstabel[[LCA-Skæring]:[LCA-Urentabel_Y]],5,FALSE),0),0)</f>
        <v>0</v>
      </c>
      <c r="K5" s="19"/>
      <c r="L5" s="199">
        <f>IF(Check_Færdighedsgrad=1,IFERROR(VLOOKUP(-1,Tidstabel[[LCC-Skæring]:[LCC-Urentabel_Y]],2,FALSE),-10),-10)</f>
        <v>-10</v>
      </c>
      <c r="M5" s="176">
        <f>IF(Check_Færdighedsgrad=1,IFERROR(VLOOKUP(-1,Tidstabel[[LCC-Skæring]:[LCC-Urentabel_Y]],3,FALSE),0),0)</f>
        <v>0</v>
      </c>
      <c r="N5" s="176">
        <f>IF(Check_Færdighedsgrad=1,IFERROR(VLOOKUP(1,Tidstabel[[LCC-Skæring]:[LCC-Urentabel_Y]],4,FALSE),-10),-10)</f>
        <v>-10</v>
      </c>
      <c r="O5" s="176">
        <f>IF(Check_Færdighedsgrad=1,IFERROR(VLOOKUP(1,Tidstabel[[LCC-Skæring]:[LCC-Urentabel_Y]],5,FALSE),0),0)</f>
        <v>0</v>
      </c>
      <c r="P5" s="19"/>
      <c r="Q5" s="19"/>
      <c r="R5" s="19"/>
      <c r="S5" s="19"/>
      <c r="T5" s="19"/>
    </row>
    <row r="6" spans="1:20" ht="14.45" customHeight="1">
      <c r="A6" s="323">
        <v>2</v>
      </c>
      <c r="B6" s="322"/>
      <c r="C6" s="322"/>
      <c r="D6" s="322"/>
      <c r="E6" s="322"/>
      <c r="F6" s="320"/>
      <c r="G6" s="19"/>
      <c r="H6" s="19"/>
      <c r="I6" s="19"/>
      <c r="J6" s="19"/>
      <c r="K6" s="19"/>
      <c r="L6" s="19"/>
      <c r="M6" s="19"/>
      <c r="N6" s="19"/>
      <c r="O6" s="19"/>
      <c r="P6" s="19"/>
      <c r="Q6" s="19"/>
      <c r="R6" s="19"/>
      <c r="S6" s="19"/>
      <c r="T6" s="19"/>
    </row>
    <row r="7" spans="1:20">
      <c r="A7" s="323">
        <v>3</v>
      </c>
      <c r="B7" s="322"/>
      <c r="C7" s="322"/>
      <c r="D7" s="322"/>
      <c r="E7" s="322"/>
      <c r="F7" s="320"/>
      <c r="G7" s="19"/>
      <c r="H7" s="19"/>
      <c r="I7" s="19"/>
      <c r="J7" s="19"/>
      <c r="K7" s="19"/>
      <c r="L7" s="19"/>
      <c r="M7" s="19"/>
      <c r="N7" s="19"/>
      <c r="O7" s="19"/>
      <c r="P7" s="19"/>
      <c r="Q7" s="19"/>
      <c r="R7" s="19"/>
      <c r="S7" s="19"/>
      <c r="T7" s="19"/>
    </row>
    <row r="8" spans="1:20">
      <c r="A8" s="323">
        <v>4</v>
      </c>
      <c r="B8" s="322"/>
      <c r="C8" s="322"/>
      <c r="D8" s="322"/>
      <c r="E8" s="322"/>
      <c r="F8" s="320"/>
      <c r="G8" s="19"/>
      <c r="H8" s="19"/>
      <c r="I8" s="19"/>
      <c r="J8" s="19"/>
      <c r="K8" s="19"/>
      <c r="L8" s="19"/>
      <c r="M8" s="19"/>
      <c r="N8" s="19"/>
      <c r="O8" s="19"/>
      <c r="P8" s="19"/>
      <c r="Q8" s="19"/>
      <c r="R8" s="19"/>
      <c r="S8" s="19"/>
      <c r="T8" s="19"/>
    </row>
    <row r="9" spans="1:20">
      <c r="A9" s="323">
        <v>5</v>
      </c>
      <c r="B9" s="322"/>
      <c r="C9" s="322"/>
      <c r="D9" s="322"/>
      <c r="E9" s="322"/>
      <c r="F9" s="320"/>
      <c r="G9" s="19"/>
      <c r="H9" s="19"/>
      <c r="I9" s="19"/>
      <c r="J9" s="19"/>
      <c r="K9" s="19"/>
      <c r="L9" s="19"/>
      <c r="M9" s="19"/>
      <c r="N9" s="19"/>
      <c r="O9" s="19"/>
      <c r="P9" s="19"/>
      <c r="Q9" s="19"/>
      <c r="R9" s="19"/>
      <c r="S9" s="19"/>
      <c r="T9" s="19"/>
    </row>
    <row r="10" spans="1:20">
      <c r="A10" s="323">
        <v>6</v>
      </c>
      <c r="B10" s="322"/>
      <c r="C10" s="322"/>
      <c r="D10" s="322"/>
      <c r="E10" s="322"/>
      <c r="F10" s="320"/>
      <c r="G10" s="19"/>
      <c r="H10" s="19"/>
      <c r="I10" s="19"/>
      <c r="J10" s="19"/>
      <c r="K10" s="19"/>
      <c r="L10" s="19"/>
      <c r="M10" s="19"/>
      <c r="N10" s="19"/>
      <c r="O10" s="19"/>
      <c r="P10" s="19"/>
      <c r="Q10" s="19"/>
      <c r="R10" s="19"/>
      <c r="S10" s="19"/>
      <c r="T10" s="19"/>
    </row>
    <row r="11" spans="1:20">
      <c r="A11" s="323">
        <v>7</v>
      </c>
      <c r="B11" s="322"/>
      <c r="C11" s="322"/>
      <c r="D11" s="322"/>
      <c r="E11" s="322"/>
      <c r="F11" s="320"/>
      <c r="G11" s="19"/>
      <c r="H11" s="19"/>
      <c r="I11" s="19"/>
      <c r="J11" s="19"/>
      <c r="K11" s="19"/>
      <c r="L11" s="19"/>
      <c r="M11" s="19"/>
      <c r="N11" s="19"/>
      <c r="O11" s="19"/>
      <c r="P11" s="19"/>
      <c r="Q11" s="19"/>
      <c r="R11" s="19"/>
      <c r="S11" s="19"/>
      <c r="T11" s="19"/>
    </row>
    <row r="12" spans="1:20">
      <c r="A12" s="323">
        <v>8</v>
      </c>
      <c r="B12" s="322"/>
      <c r="C12" s="322"/>
      <c r="D12" s="322"/>
      <c r="E12" s="322"/>
      <c r="F12" s="320"/>
      <c r="G12" s="19"/>
      <c r="H12" s="19"/>
      <c r="I12" s="19"/>
      <c r="J12" s="19"/>
      <c r="K12" s="19"/>
      <c r="L12" s="19"/>
      <c r="M12" s="19"/>
      <c r="N12" s="19"/>
      <c r="O12" s="19"/>
      <c r="P12" s="19"/>
      <c r="Q12" s="19"/>
      <c r="R12" s="19"/>
      <c r="S12" s="19"/>
      <c r="T12" s="19"/>
    </row>
    <row r="13" spans="1:20">
      <c r="A13" s="323">
        <v>9</v>
      </c>
      <c r="B13" s="322"/>
      <c r="C13" s="322"/>
      <c r="D13" s="322"/>
      <c r="E13" s="322"/>
      <c r="F13" s="320"/>
      <c r="G13" s="19"/>
      <c r="H13" s="19"/>
      <c r="I13" s="19"/>
      <c r="J13" s="19"/>
      <c r="K13" s="19"/>
      <c r="L13" s="19"/>
      <c r="M13" s="19"/>
      <c r="N13" s="19"/>
      <c r="O13" s="19"/>
      <c r="P13" s="19"/>
      <c r="Q13" s="19"/>
      <c r="R13" s="19"/>
      <c r="S13" s="19"/>
      <c r="T13" s="19"/>
    </row>
    <row r="14" spans="1:20">
      <c r="A14" s="323">
        <v>10</v>
      </c>
      <c r="B14" s="322"/>
      <c r="C14" s="322"/>
      <c r="D14" s="322"/>
      <c r="E14" s="322"/>
      <c r="F14" s="320"/>
      <c r="G14" s="19"/>
      <c r="H14" s="19"/>
      <c r="I14" s="19"/>
      <c r="J14" s="19"/>
      <c r="K14" s="19"/>
      <c r="L14" s="19"/>
      <c r="M14" s="19"/>
      <c r="N14" s="19"/>
      <c r="O14" s="19"/>
      <c r="P14" s="19"/>
      <c r="Q14" s="19"/>
      <c r="R14" s="19"/>
      <c r="S14" s="19"/>
      <c r="T14" s="19"/>
    </row>
    <row r="15" spans="1:20">
      <c r="A15" s="323">
        <v>11</v>
      </c>
      <c r="B15" s="322"/>
      <c r="C15" s="322"/>
      <c r="D15" s="322"/>
      <c r="E15" s="322"/>
      <c r="F15" s="320"/>
      <c r="G15" s="19"/>
      <c r="H15" s="19"/>
      <c r="I15" s="19"/>
      <c r="J15" s="19"/>
      <c r="K15" s="19"/>
      <c r="L15" s="19"/>
      <c r="M15" s="19"/>
      <c r="N15" s="19"/>
      <c r="O15" s="19"/>
      <c r="P15" s="19"/>
      <c r="Q15" s="19"/>
      <c r="R15" s="19"/>
      <c r="S15" s="19"/>
      <c r="T15" s="19"/>
    </row>
    <row r="16" spans="1:20">
      <c r="A16" s="323">
        <v>12</v>
      </c>
      <c r="B16" s="322"/>
      <c r="C16" s="322"/>
      <c r="D16" s="322"/>
      <c r="E16" s="322"/>
      <c r="F16" s="320"/>
      <c r="G16" s="19"/>
      <c r="H16" s="19"/>
      <c r="I16" s="19"/>
      <c r="J16" s="19"/>
      <c r="K16" s="19"/>
      <c r="L16" s="19"/>
      <c r="M16" s="19"/>
      <c r="N16" s="19"/>
      <c r="O16" s="19"/>
      <c r="P16" s="19"/>
      <c r="Q16" s="19"/>
      <c r="R16" s="19"/>
      <c r="S16" s="19"/>
      <c r="T16" s="19"/>
    </row>
    <row r="17" spans="1:20">
      <c r="A17" s="323">
        <v>13</v>
      </c>
      <c r="B17" s="322"/>
      <c r="C17" s="322"/>
      <c r="D17" s="322"/>
      <c r="E17" s="322"/>
      <c r="F17" s="320"/>
      <c r="G17" s="19"/>
      <c r="H17" s="19"/>
      <c r="I17" s="19"/>
      <c r="J17" s="19"/>
      <c r="K17" s="19"/>
      <c r="L17" s="19"/>
      <c r="M17" s="19"/>
      <c r="N17" s="19"/>
      <c r="O17" s="19"/>
      <c r="P17" s="19"/>
      <c r="Q17" s="19"/>
      <c r="R17" s="19"/>
      <c r="S17" s="19"/>
      <c r="T17" s="19"/>
    </row>
    <row r="18" spans="1:20">
      <c r="A18" s="323">
        <v>14</v>
      </c>
      <c r="B18" s="322"/>
      <c r="C18" s="322"/>
      <c r="D18" s="322"/>
      <c r="E18" s="322"/>
      <c r="F18" s="320"/>
      <c r="G18" s="19"/>
      <c r="H18" s="19"/>
      <c r="I18" s="19"/>
      <c r="J18" s="19"/>
      <c r="K18" s="19"/>
      <c r="L18" s="19"/>
      <c r="M18" s="19"/>
      <c r="N18" s="19"/>
      <c r="O18" s="19"/>
      <c r="P18" s="19"/>
      <c r="Q18" s="19"/>
      <c r="R18" s="19"/>
      <c r="S18" s="19"/>
      <c r="T18" s="19"/>
    </row>
    <row r="19" spans="1:20">
      <c r="A19" s="323">
        <v>15</v>
      </c>
      <c r="B19" s="322"/>
      <c r="C19" s="322"/>
      <c r="D19" s="322"/>
      <c r="E19" s="322"/>
      <c r="F19" s="320"/>
      <c r="G19" s="19"/>
      <c r="H19" s="19"/>
      <c r="I19" s="19"/>
      <c r="J19" s="19"/>
      <c r="K19" s="19"/>
      <c r="L19" s="19"/>
      <c r="M19" s="19"/>
      <c r="N19" s="19"/>
      <c r="O19" s="19"/>
      <c r="P19" s="19"/>
      <c r="Q19" s="19"/>
      <c r="R19" s="19"/>
      <c r="S19" s="19"/>
      <c r="T19" s="19"/>
    </row>
    <row r="20" spans="1:20">
      <c r="A20" s="323">
        <v>16</v>
      </c>
      <c r="B20" s="322"/>
      <c r="C20" s="322"/>
      <c r="D20" s="322"/>
      <c r="E20" s="322"/>
      <c r="F20" s="320"/>
      <c r="G20" s="19"/>
      <c r="H20" s="19"/>
      <c r="I20" s="19"/>
      <c r="J20" s="19"/>
      <c r="K20" s="19"/>
      <c r="L20" s="19"/>
      <c r="M20" s="19"/>
      <c r="N20" s="19"/>
      <c r="O20" s="19"/>
      <c r="P20" s="19"/>
      <c r="Q20" s="19"/>
      <c r="R20" s="19"/>
      <c r="S20" s="19"/>
      <c r="T20" s="19"/>
    </row>
    <row r="21" spans="1:20">
      <c r="A21" s="323">
        <v>17</v>
      </c>
      <c r="B21" s="322"/>
      <c r="C21" s="322"/>
      <c r="D21" s="322"/>
      <c r="E21" s="322"/>
      <c r="F21" s="320"/>
      <c r="G21" s="19"/>
      <c r="H21" s="19"/>
      <c r="I21" s="19"/>
      <c r="J21" s="19"/>
      <c r="K21" s="19"/>
      <c r="L21" s="19"/>
      <c r="M21" s="19"/>
      <c r="N21" s="19"/>
      <c r="O21" s="19"/>
      <c r="P21" s="19"/>
      <c r="Q21" s="19"/>
      <c r="R21" s="19"/>
      <c r="S21" s="19"/>
      <c r="T21" s="19"/>
    </row>
    <row r="22" spans="1:20">
      <c r="A22" s="323">
        <v>18</v>
      </c>
      <c r="B22" s="322"/>
      <c r="C22" s="322"/>
      <c r="D22" s="322"/>
      <c r="E22" s="322"/>
      <c r="F22" s="320"/>
      <c r="G22" s="19"/>
      <c r="H22" s="19"/>
      <c r="I22" s="19"/>
      <c r="J22" s="19"/>
      <c r="K22" s="19"/>
      <c r="L22" s="19"/>
      <c r="M22" s="19"/>
      <c r="N22" s="19"/>
      <c r="O22" s="19"/>
      <c r="P22" s="19"/>
      <c r="Q22" s="19"/>
      <c r="R22" s="19"/>
      <c r="S22" s="19"/>
      <c r="T22" s="19"/>
    </row>
    <row r="23" spans="1:20">
      <c r="A23" s="323">
        <v>19</v>
      </c>
      <c r="B23" s="322"/>
      <c r="C23" s="322"/>
      <c r="D23" s="322"/>
      <c r="E23" s="322"/>
      <c r="F23" s="320"/>
      <c r="G23" s="19"/>
      <c r="H23" s="19"/>
      <c r="I23" s="19"/>
      <c r="J23" s="19"/>
      <c r="K23" s="19"/>
      <c r="L23" s="19"/>
      <c r="M23" s="19"/>
      <c r="N23" s="19"/>
      <c r="O23" s="19"/>
      <c r="P23" s="19"/>
      <c r="Q23" s="19"/>
      <c r="R23" s="19"/>
      <c r="S23" s="19"/>
      <c r="T23" s="19"/>
    </row>
    <row r="24" spans="1:20">
      <c r="A24" s="323">
        <v>20</v>
      </c>
      <c r="B24" s="322"/>
      <c r="C24" s="322"/>
      <c r="D24" s="322"/>
      <c r="E24" s="322"/>
      <c r="F24" s="320"/>
      <c r="G24" s="19"/>
      <c r="H24" s="19"/>
      <c r="I24" s="19"/>
      <c r="J24" s="19"/>
      <c r="K24" s="19"/>
      <c r="L24" s="19"/>
      <c r="M24" s="19"/>
      <c r="N24" s="19"/>
      <c r="O24" s="19"/>
      <c r="P24" s="19"/>
      <c r="Q24" s="19"/>
      <c r="R24" s="19"/>
      <c r="S24" s="19"/>
      <c r="T24" s="19"/>
    </row>
    <row r="25" spans="1:20">
      <c r="A25" s="323">
        <v>21</v>
      </c>
      <c r="B25" s="322"/>
      <c r="C25" s="322"/>
      <c r="D25" s="322"/>
      <c r="E25" s="322"/>
      <c r="F25" s="320"/>
      <c r="G25" s="19"/>
      <c r="H25" s="19"/>
      <c r="I25" s="19"/>
      <c r="J25" s="19"/>
      <c r="K25" s="19"/>
      <c r="L25" s="19"/>
      <c r="M25" s="19"/>
      <c r="N25" s="19"/>
      <c r="O25" s="19"/>
      <c r="P25" s="19"/>
      <c r="Q25" s="19"/>
      <c r="R25" s="19"/>
      <c r="S25" s="19"/>
      <c r="T25" s="19"/>
    </row>
    <row r="26" spans="1:20">
      <c r="A26" s="323">
        <v>22</v>
      </c>
      <c r="B26" s="322"/>
      <c r="C26" s="322"/>
      <c r="D26" s="322"/>
      <c r="E26" s="322"/>
      <c r="F26" s="320"/>
      <c r="G26" s="19"/>
      <c r="H26" s="19"/>
      <c r="I26" s="19"/>
      <c r="J26" s="19"/>
      <c r="K26" s="19"/>
      <c r="L26" s="19"/>
      <c r="M26" s="19"/>
      <c r="N26" s="19"/>
      <c r="O26" s="19"/>
      <c r="P26" s="19"/>
      <c r="Q26" s="19"/>
      <c r="R26" s="19"/>
      <c r="S26" s="19"/>
      <c r="T26" s="19"/>
    </row>
    <row r="27" spans="1:20">
      <c r="A27" s="323">
        <v>23</v>
      </c>
      <c r="B27" s="322"/>
      <c r="C27" s="322"/>
      <c r="D27" s="322"/>
      <c r="E27" s="322"/>
      <c r="F27" s="320"/>
      <c r="G27" s="19"/>
      <c r="H27" s="19"/>
      <c r="I27" s="19"/>
      <c r="J27" s="19"/>
      <c r="K27" s="19"/>
      <c r="L27" s="19"/>
      <c r="M27" s="19"/>
      <c r="N27" s="19"/>
      <c r="O27" s="19"/>
      <c r="P27" s="19"/>
      <c r="Q27" s="19"/>
      <c r="R27" s="19"/>
      <c r="S27" s="19"/>
      <c r="T27" s="19"/>
    </row>
    <row r="28" spans="1:20">
      <c r="A28" s="323">
        <v>24</v>
      </c>
      <c r="B28" s="322"/>
      <c r="C28" s="322"/>
      <c r="D28" s="322"/>
      <c r="E28" s="322"/>
      <c r="F28" s="320"/>
      <c r="G28" s="19"/>
      <c r="H28" s="19"/>
      <c r="I28" s="19"/>
      <c r="J28" s="19"/>
      <c r="K28" s="19"/>
      <c r="L28" s="19"/>
      <c r="M28" s="19"/>
      <c r="N28" s="19"/>
      <c r="O28" s="19"/>
      <c r="P28" s="19"/>
      <c r="Q28" s="19"/>
      <c r="R28" s="19"/>
      <c r="S28" s="19"/>
      <c r="T28" s="19"/>
    </row>
    <row r="29" spans="1:20">
      <c r="A29" s="323">
        <v>25</v>
      </c>
      <c r="B29" s="322"/>
      <c r="C29" s="322"/>
      <c r="D29" s="322"/>
      <c r="E29" s="322"/>
      <c r="F29" s="320"/>
      <c r="G29" s="19"/>
      <c r="H29" s="19"/>
      <c r="I29" s="19"/>
      <c r="J29" s="19"/>
      <c r="K29" s="19"/>
      <c r="L29" s="19"/>
      <c r="M29" s="19"/>
      <c r="N29" s="19"/>
      <c r="O29" s="19"/>
      <c r="P29" s="19"/>
      <c r="Q29" s="19"/>
      <c r="R29" s="19"/>
      <c r="S29" s="19"/>
      <c r="T29" s="19"/>
    </row>
    <row r="30" spans="1:20">
      <c r="A30" s="323">
        <v>26</v>
      </c>
      <c r="B30" s="322"/>
      <c r="C30" s="322"/>
      <c r="D30" s="322"/>
      <c r="E30" s="322"/>
      <c r="F30" s="320"/>
      <c r="G30" s="19"/>
      <c r="H30" s="19"/>
      <c r="I30" s="19"/>
      <c r="J30" s="19"/>
      <c r="K30" s="19"/>
      <c r="L30" s="19"/>
      <c r="M30" s="19"/>
      <c r="N30" s="19"/>
      <c r="O30" s="19"/>
      <c r="P30" s="19"/>
      <c r="Q30" s="19"/>
      <c r="R30" s="19"/>
      <c r="S30" s="19"/>
      <c r="T30" s="19"/>
    </row>
    <row r="31" spans="1:20">
      <c r="A31" s="323">
        <v>27</v>
      </c>
      <c r="B31" s="322"/>
      <c r="C31" s="322"/>
      <c r="D31" s="322"/>
      <c r="E31" s="322"/>
      <c r="F31" s="320"/>
      <c r="G31" s="19"/>
      <c r="H31" s="19"/>
      <c r="I31" s="19"/>
      <c r="J31" s="19"/>
      <c r="K31" s="19"/>
      <c r="L31" s="19"/>
      <c r="M31" s="19"/>
      <c r="N31" s="19"/>
      <c r="O31" s="19"/>
      <c r="P31" s="19"/>
      <c r="Q31" s="19"/>
      <c r="R31" s="19"/>
      <c r="S31" s="19"/>
      <c r="T31" s="19"/>
    </row>
    <row r="32" spans="1:20">
      <c r="A32" s="323">
        <v>28</v>
      </c>
      <c r="B32" s="322"/>
      <c r="C32" s="322"/>
      <c r="D32" s="322"/>
      <c r="E32" s="322"/>
      <c r="F32" s="320"/>
      <c r="G32" s="19"/>
      <c r="H32" s="19"/>
      <c r="I32" s="19"/>
      <c r="J32" s="19"/>
      <c r="K32" s="19"/>
      <c r="L32" s="19"/>
      <c r="M32" s="19"/>
      <c r="N32" s="19"/>
      <c r="O32" s="19"/>
      <c r="P32" s="19"/>
      <c r="Q32" s="19"/>
      <c r="R32" s="19"/>
      <c r="S32" s="19"/>
      <c r="T32" s="19"/>
    </row>
    <row r="33" spans="1:20">
      <c r="A33" s="323">
        <v>29</v>
      </c>
      <c r="B33" s="322"/>
      <c r="C33" s="322"/>
      <c r="D33" s="322"/>
      <c r="E33" s="322"/>
      <c r="F33" s="320"/>
      <c r="G33" s="19"/>
      <c r="H33" s="19"/>
      <c r="I33" s="19"/>
      <c r="J33" s="19"/>
      <c r="K33" s="19"/>
      <c r="L33" s="19"/>
      <c r="M33" s="19"/>
      <c r="N33" s="19"/>
      <c r="O33" s="19"/>
      <c r="P33" s="19"/>
      <c r="Q33" s="19"/>
      <c r="R33" s="19"/>
      <c r="S33" s="19"/>
      <c r="T33" s="19"/>
    </row>
    <row r="34" spans="1:20">
      <c r="A34" s="323">
        <v>30</v>
      </c>
      <c r="B34" s="322"/>
      <c r="C34" s="322"/>
      <c r="D34" s="322"/>
      <c r="E34" s="322"/>
      <c r="F34" s="320"/>
      <c r="G34" s="19"/>
      <c r="H34" s="19"/>
      <c r="I34" s="19"/>
      <c r="J34" s="19"/>
      <c r="K34" s="19"/>
      <c r="L34" s="19"/>
      <c r="M34" s="19"/>
      <c r="N34" s="19"/>
      <c r="O34" s="19"/>
      <c r="P34" s="19"/>
      <c r="Q34" s="19"/>
      <c r="R34" s="19"/>
      <c r="S34" s="19"/>
      <c r="T34" s="19"/>
    </row>
    <row r="35" spans="1:20">
      <c r="A35" s="323">
        <v>31</v>
      </c>
      <c r="B35" s="322"/>
      <c r="C35" s="322"/>
      <c r="D35" s="322"/>
      <c r="E35" s="322"/>
      <c r="F35" s="320"/>
      <c r="G35" s="19"/>
      <c r="H35" s="19"/>
      <c r="I35" s="19"/>
      <c r="J35" s="19"/>
      <c r="K35" s="19"/>
      <c r="L35" s="19"/>
      <c r="M35" s="19"/>
      <c r="N35" s="19"/>
      <c r="O35" s="19"/>
      <c r="P35" s="19"/>
      <c r="Q35" s="19"/>
      <c r="R35" s="19"/>
      <c r="S35" s="19"/>
      <c r="T35" s="19"/>
    </row>
    <row r="36" spans="1:20">
      <c r="A36" s="323">
        <v>32</v>
      </c>
      <c r="B36" s="322"/>
      <c r="C36" s="322"/>
      <c r="D36" s="322"/>
      <c r="E36" s="322"/>
      <c r="F36" s="320"/>
      <c r="G36" s="19"/>
      <c r="H36" s="19"/>
      <c r="I36" s="19"/>
      <c r="J36" s="19"/>
      <c r="K36" s="19"/>
      <c r="L36" s="19"/>
      <c r="M36" s="19"/>
      <c r="N36" s="19"/>
      <c r="O36" s="19"/>
      <c r="P36" s="19"/>
      <c r="Q36" s="19"/>
      <c r="R36" s="19"/>
      <c r="S36" s="19"/>
      <c r="T36" s="19"/>
    </row>
    <row r="37" spans="1:20">
      <c r="A37" s="323">
        <v>33</v>
      </c>
      <c r="B37" s="322"/>
      <c r="C37" s="322"/>
      <c r="D37" s="322"/>
      <c r="E37" s="322"/>
      <c r="F37" s="320"/>
      <c r="G37" s="19"/>
      <c r="H37" s="19"/>
      <c r="I37" s="19"/>
      <c r="J37" s="19"/>
      <c r="K37" s="19"/>
      <c r="L37" s="19"/>
      <c r="M37" s="19"/>
      <c r="N37" s="19"/>
      <c r="O37" s="19"/>
      <c r="P37" s="19"/>
      <c r="Q37" s="19"/>
      <c r="R37" s="19"/>
      <c r="S37" s="19"/>
      <c r="T37" s="19"/>
    </row>
    <row r="38" spans="1:20">
      <c r="A38" s="323">
        <v>34</v>
      </c>
      <c r="B38" s="322"/>
      <c r="C38" s="322"/>
      <c r="D38" s="322"/>
      <c r="E38" s="322"/>
      <c r="F38" s="320"/>
      <c r="G38" s="19"/>
      <c r="H38" s="19"/>
      <c r="I38" s="19"/>
      <c r="J38" s="19"/>
      <c r="K38" s="19"/>
      <c r="L38" s="19"/>
      <c r="M38" s="19"/>
      <c r="N38" s="19"/>
      <c r="O38" s="19"/>
      <c r="P38" s="19"/>
      <c r="Q38" s="19"/>
      <c r="R38" s="19"/>
      <c r="S38" s="19"/>
      <c r="T38" s="19"/>
    </row>
    <row r="39" spans="1:20">
      <c r="A39" s="323">
        <v>35</v>
      </c>
      <c r="B39" s="322"/>
      <c r="C39" s="322"/>
      <c r="D39" s="322"/>
      <c r="E39" s="322"/>
      <c r="F39" s="320"/>
      <c r="G39" s="19"/>
      <c r="H39" s="19"/>
      <c r="I39" s="19"/>
      <c r="J39" s="19"/>
      <c r="K39" s="19"/>
      <c r="L39" s="19"/>
      <c r="M39" s="19"/>
      <c r="N39" s="19"/>
      <c r="O39" s="19"/>
      <c r="P39" s="19"/>
      <c r="Q39" s="19"/>
      <c r="R39" s="19"/>
      <c r="S39" s="19"/>
      <c r="T39" s="19"/>
    </row>
    <row r="40" spans="1:20">
      <c r="A40" s="323">
        <v>36</v>
      </c>
      <c r="B40" s="322"/>
      <c r="C40" s="322"/>
      <c r="D40" s="322"/>
      <c r="E40" s="322"/>
      <c r="F40" s="320"/>
      <c r="G40" s="19"/>
      <c r="H40" s="19"/>
      <c r="I40" s="19"/>
      <c r="J40" s="19"/>
      <c r="K40" s="19"/>
      <c r="L40" s="19"/>
      <c r="M40" s="19"/>
      <c r="N40" s="19"/>
      <c r="O40" s="19"/>
      <c r="P40" s="19"/>
      <c r="Q40" s="19"/>
      <c r="R40" s="19"/>
      <c r="S40" s="19"/>
      <c r="T40" s="19"/>
    </row>
    <row r="41" spans="1:20">
      <c r="A41" s="323">
        <v>37</v>
      </c>
      <c r="B41" s="322"/>
      <c r="C41" s="322"/>
      <c r="D41" s="322"/>
      <c r="E41" s="322"/>
      <c r="F41" s="320"/>
      <c r="G41" s="19"/>
      <c r="H41" s="19"/>
      <c r="I41" s="19"/>
      <c r="J41" s="19"/>
      <c r="K41" s="19"/>
      <c r="L41" s="19"/>
      <c r="M41" s="19"/>
      <c r="N41" s="19"/>
      <c r="O41" s="19"/>
      <c r="P41" s="19"/>
      <c r="Q41" s="19"/>
      <c r="R41" s="19"/>
      <c r="S41" s="19"/>
      <c r="T41" s="19"/>
    </row>
    <row r="42" spans="1:20">
      <c r="A42" s="323">
        <v>38</v>
      </c>
      <c r="B42" s="322"/>
      <c r="C42" s="322"/>
      <c r="D42" s="322"/>
      <c r="E42" s="322"/>
      <c r="F42" s="320"/>
      <c r="G42" s="19"/>
      <c r="H42" s="19"/>
      <c r="I42" s="19"/>
      <c r="J42" s="19"/>
      <c r="K42" s="19"/>
      <c r="L42" s="19"/>
      <c r="M42" s="19"/>
      <c r="N42" s="19"/>
      <c r="O42" s="19"/>
      <c r="P42" s="19"/>
      <c r="Q42" s="19"/>
      <c r="R42" s="19"/>
      <c r="S42" s="19"/>
      <c r="T42" s="19"/>
    </row>
    <row r="43" spans="1:20">
      <c r="A43" s="323">
        <v>39</v>
      </c>
      <c r="B43" s="322"/>
      <c r="C43" s="322"/>
      <c r="D43" s="322"/>
      <c r="E43" s="322"/>
      <c r="F43" s="320"/>
      <c r="G43" s="19"/>
      <c r="H43" s="19"/>
      <c r="I43" s="19"/>
      <c r="J43" s="19"/>
      <c r="K43" s="19"/>
      <c r="L43" s="19"/>
      <c r="M43" s="19"/>
      <c r="N43" s="19"/>
      <c r="O43" s="19"/>
      <c r="P43" s="19"/>
      <c r="Q43" s="19"/>
      <c r="R43" s="19"/>
      <c r="S43" s="19"/>
      <c r="T43" s="19"/>
    </row>
    <row r="44" spans="1:20">
      <c r="A44" s="323">
        <v>40</v>
      </c>
      <c r="B44" s="322"/>
      <c r="C44" s="322"/>
      <c r="D44" s="322"/>
      <c r="E44" s="322"/>
      <c r="F44" s="320"/>
      <c r="G44" s="19"/>
      <c r="H44" s="19"/>
      <c r="I44" s="19"/>
      <c r="J44" s="19"/>
      <c r="K44" s="19"/>
      <c r="L44" s="19"/>
      <c r="M44" s="19"/>
      <c r="N44" s="19"/>
      <c r="O44" s="19"/>
      <c r="P44" s="19"/>
      <c r="Q44" s="19"/>
      <c r="R44" s="19"/>
      <c r="S44" s="19"/>
      <c r="T44" s="19"/>
    </row>
    <row r="45" spans="1:20">
      <c r="A45" s="323">
        <v>41</v>
      </c>
      <c r="B45" s="322"/>
      <c r="C45" s="322"/>
      <c r="D45" s="322"/>
      <c r="E45" s="322"/>
      <c r="F45" s="320"/>
      <c r="G45" s="19"/>
      <c r="H45" s="19"/>
      <c r="I45" s="19"/>
      <c r="J45" s="19"/>
      <c r="K45" s="19"/>
      <c r="L45" s="19"/>
      <c r="M45" s="19"/>
      <c r="N45" s="19"/>
      <c r="O45" s="19"/>
      <c r="P45" s="19"/>
      <c r="Q45" s="19"/>
      <c r="R45" s="19"/>
      <c r="S45" s="19"/>
      <c r="T45" s="19"/>
    </row>
    <row r="46" spans="1:20">
      <c r="A46" s="323">
        <v>42</v>
      </c>
      <c r="B46" s="322"/>
      <c r="C46" s="322"/>
      <c r="D46" s="322"/>
      <c r="E46" s="322"/>
      <c r="F46" s="320"/>
      <c r="G46" s="19"/>
      <c r="H46" s="19"/>
      <c r="I46" s="19"/>
      <c r="J46" s="19"/>
      <c r="K46" s="19"/>
      <c r="L46" s="19"/>
      <c r="M46" s="19"/>
      <c r="N46" s="19"/>
      <c r="O46" s="19"/>
      <c r="P46" s="19"/>
      <c r="Q46" s="19"/>
      <c r="R46" s="19"/>
      <c r="S46" s="19"/>
      <c r="T46" s="19"/>
    </row>
    <row r="47" spans="1:20">
      <c r="A47" s="323">
        <v>43</v>
      </c>
      <c r="B47" s="322"/>
      <c r="C47" s="322"/>
      <c r="D47" s="322"/>
      <c r="E47" s="322"/>
      <c r="F47" s="320"/>
      <c r="G47" s="19"/>
      <c r="H47" s="19"/>
      <c r="I47" s="19"/>
      <c r="J47" s="19"/>
      <c r="K47" s="19"/>
      <c r="L47" s="19"/>
      <c r="M47" s="19"/>
      <c r="N47" s="19"/>
      <c r="O47" s="19"/>
      <c r="P47" s="19"/>
      <c r="Q47" s="19"/>
      <c r="R47" s="19"/>
      <c r="S47" s="19"/>
      <c r="T47" s="19"/>
    </row>
    <row r="48" spans="1:20">
      <c r="A48" s="323">
        <v>44</v>
      </c>
      <c r="B48" s="322"/>
      <c r="C48" s="322"/>
      <c r="D48" s="322"/>
      <c r="E48" s="322"/>
      <c r="F48" s="320"/>
      <c r="G48" s="19"/>
      <c r="H48" s="19"/>
      <c r="I48" s="19"/>
      <c r="J48" s="19"/>
      <c r="K48" s="19"/>
      <c r="L48" s="19"/>
      <c r="M48" s="19"/>
      <c r="N48" s="19"/>
      <c r="O48" s="19"/>
      <c r="P48" s="19"/>
      <c r="Q48" s="19"/>
      <c r="R48" s="19"/>
      <c r="S48" s="19"/>
      <c r="T48" s="19"/>
    </row>
    <row r="49" spans="1:20">
      <c r="A49" s="323">
        <v>45</v>
      </c>
      <c r="B49" s="322"/>
      <c r="C49" s="322"/>
      <c r="D49" s="322"/>
      <c r="E49" s="322"/>
      <c r="F49" s="320"/>
      <c r="G49" s="19"/>
      <c r="H49" s="19"/>
      <c r="I49" s="19"/>
      <c r="J49" s="19"/>
      <c r="K49" s="19"/>
      <c r="L49" s="19"/>
      <c r="M49" s="19"/>
      <c r="N49" s="19"/>
      <c r="O49" s="19"/>
      <c r="P49" s="19"/>
      <c r="Q49" s="19"/>
      <c r="R49" s="19"/>
      <c r="S49" s="19"/>
      <c r="T49" s="19"/>
    </row>
    <row r="50" spans="1:20">
      <c r="A50" s="323">
        <v>46</v>
      </c>
      <c r="B50" s="322"/>
      <c r="C50" s="322"/>
      <c r="D50" s="322"/>
      <c r="E50" s="322"/>
      <c r="F50" s="320"/>
      <c r="G50" s="19"/>
      <c r="H50" s="19"/>
      <c r="I50" s="19"/>
      <c r="J50" s="19"/>
      <c r="K50" s="19"/>
      <c r="L50" s="19"/>
      <c r="M50" s="19"/>
      <c r="N50" s="19"/>
      <c r="O50" s="19"/>
      <c r="P50" s="19"/>
      <c r="Q50" s="19"/>
      <c r="R50" s="19"/>
      <c r="S50" s="19"/>
      <c r="T50" s="19"/>
    </row>
    <row r="51" spans="1:20">
      <c r="A51" s="323">
        <v>47</v>
      </c>
      <c r="B51" s="322"/>
      <c r="C51" s="322"/>
      <c r="D51" s="322"/>
      <c r="E51" s="322"/>
      <c r="F51" s="320"/>
      <c r="G51" s="19"/>
      <c r="H51" s="19"/>
      <c r="I51" s="19"/>
      <c r="J51" s="19"/>
      <c r="K51" s="19"/>
      <c r="L51" s="19"/>
      <c r="M51" s="19"/>
      <c r="N51" s="19"/>
      <c r="O51" s="19"/>
      <c r="P51" s="19"/>
      <c r="Q51" s="19"/>
      <c r="R51" s="19"/>
      <c r="S51" s="19"/>
      <c r="T51" s="19"/>
    </row>
    <row r="52" spans="1:20">
      <c r="A52" s="323">
        <v>48</v>
      </c>
      <c r="B52" s="322"/>
      <c r="C52" s="322"/>
      <c r="D52" s="322"/>
      <c r="E52" s="322"/>
      <c r="F52" s="320"/>
      <c r="G52" s="19"/>
      <c r="H52" s="19"/>
      <c r="I52" s="19"/>
      <c r="J52" s="19"/>
      <c r="K52" s="19"/>
      <c r="L52" s="19"/>
      <c r="M52" s="19"/>
      <c r="N52" s="19"/>
      <c r="O52" s="19"/>
      <c r="P52" s="19"/>
      <c r="Q52" s="19"/>
      <c r="R52" s="19"/>
      <c r="S52" s="19"/>
      <c r="T52" s="19"/>
    </row>
    <row r="53" spans="1:20">
      <c r="A53" s="323">
        <v>49</v>
      </c>
      <c r="B53" s="322"/>
      <c r="C53" s="322"/>
      <c r="D53" s="322"/>
      <c r="E53" s="322"/>
      <c r="F53" s="320"/>
      <c r="G53" s="19"/>
      <c r="H53" s="19"/>
      <c r="I53" s="19"/>
      <c r="J53" s="19"/>
      <c r="K53" s="19"/>
      <c r="L53" s="19"/>
      <c r="M53" s="19"/>
      <c r="N53" s="19"/>
      <c r="O53" s="19"/>
      <c r="P53" s="19"/>
      <c r="Q53" s="19"/>
      <c r="R53" s="19"/>
      <c r="S53" s="19"/>
      <c r="T53" s="19"/>
    </row>
    <row r="54" spans="1:20">
      <c r="A54" s="323">
        <v>50</v>
      </c>
      <c r="B54" s="322"/>
      <c r="C54" s="322"/>
      <c r="D54" s="322"/>
      <c r="E54" s="322"/>
      <c r="F54" s="320"/>
      <c r="G54" s="19"/>
      <c r="H54" s="19"/>
      <c r="I54" s="19"/>
      <c r="J54" s="19"/>
      <c r="K54" s="19"/>
      <c r="L54" s="19"/>
      <c r="M54" s="19"/>
      <c r="N54" s="19"/>
      <c r="O54" s="19"/>
      <c r="P54" s="19"/>
      <c r="Q54" s="19"/>
      <c r="R54" s="19"/>
      <c r="S54" s="19"/>
      <c r="T54" s="19"/>
    </row>
    <row r="55" spans="1:20">
      <c r="A55" s="323"/>
      <c r="B55" s="322"/>
      <c r="C55" s="322"/>
      <c r="D55" s="322"/>
      <c r="E55" s="322"/>
      <c r="F55" s="320"/>
      <c r="G55" s="19"/>
      <c r="H55" s="19"/>
      <c r="I55" s="19"/>
      <c r="J55" s="19"/>
      <c r="K55" s="19"/>
      <c r="L55" s="19"/>
      <c r="M55" s="19"/>
      <c r="N55" s="19"/>
      <c r="O55" s="19"/>
      <c r="P55" s="19"/>
      <c r="Q55" s="19"/>
      <c r="R55" s="19"/>
      <c r="S55" s="19"/>
      <c r="T55" s="19"/>
    </row>
    <row r="56" spans="1:20">
      <c r="A56" s="323"/>
      <c r="B56" s="322"/>
      <c r="C56" s="322"/>
      <c r="D56" s="322"/>
      <c r="E56" s="322"/>
      <c r="F56" s="320"/>
      <c r="G56" s="19"/>
      <c r="H56" s="19"/>
      <c r="I56" s="19"/>
      <c r="J56" s="19"/>
      <c r="K56" s="19"/>
      <c r="L56" s="19"/>
      <c r="M56" s="19"/>
      <c r="N56" s="19"/>
      <c r="O56" s="19"/>
      <c r="P56" s="19"/>
      <c r="Q56" s="19"/>
      <c r="R56" s="19"/>
      <c r="S56" s="19"/>
      <c r="T56" s="19"/>
    </row>
    <row r="57" spans="1:20">
      <c r="A57" s="323"/>
      <c r="B57" s="322"/>
      <c r="C57" s="322"/>
      <c r="D57" s="322"/>
      <c r="E57" s="322"/>
      <c r="F57" s="320"/>
      <c r="G57" s="19"/>
      <c r="H57" s="19"/>
      <c r="I57" s="19"/>
      <c r="J57" s="19"/>
      <c r="K57" s="19"/>
      <c r="L57" s="19"/>
      <c r="M57" s="19"/>
      <c r="N57" s="19"/>
      <c r="O57" s="19"/>
      <c r="P57" s="19"/>
      <c r="Q57" s="19"/>
      <c r="R57" s="19"/>
      <c r="S57" s="19"/>
      <c r="T57" s="19"/>
    </row>
    <row r="58" spans="1:20">
      <c r="A58" s="323"/>
      <c r="B58" s="322"/>
      <c r="C58" s="322"/>
      <c r="D58" s="322"/>
      <c r="E58" s="322"/>
      <c r="F58" s="320"/>
      <c r="G58" s="19"/>
      <c r="H58" s="19"/>
      <c r="I58" s="19"/>
      <c r="J58" s="19"/>
      <c r="K58" s="19"/>
      <c r="L58" s="19"/>
      <c r="M58" s="19"/>
      <c r="N58" s="19"/>
      <c r="O58" s="19"/>
      <c r="P58" s="19"/>
      <c r="Q58" s="19"/>
      <c r="R58" s="19"/>
      <c r="S58" s="19"/>
      <c r="T58" s="19"/>
    </row>
    <row r="59" spans="1:20">
      <c r="A59" s="323"/>
      <c r="B59" s="322"/>
      <c r="C59" s="322"/>
      <c r="D59" s="322"/>
      <c r="E59" s="322"/>
      <c r="F59" s="320"/>
      <c r="G59" s="19"/>
      <c r="H59" s="19"/>
      <c r="I59" s="19"/>
      <c r="J59" s="19"/>
      <c r="K59" s="19"/>
      <c r="L59" s="19"/>
      <c r="M59" s="19"/>
      <c r="N59" s="19"/>
      <c r="O59" s="19"/>
      <c r="P59" s="19"/>
      <c r="Q59" s="19"/>
      <c r="R59" s="19"/>
      <c r="S59" s="19"/>
      <c r="T59" s="19"/>
    </row>
    <row r="60" spans="1:20">
      <c r="A60" s="323"/>
      <c r="B60" s="322"/>
      <c r="C60" s="322"/>
      <c r="D60" s="322"/>
      <c r="E60" s="322"/>
      <c r="F60" s="320"/>
      <c r="G60" s="19"/>
      <c r="H60" s="19"/>
      <c r="I60" s="19"/>
      <c r="J60" s="19"/>
      <c r="K60" s="19"/>
      <c r="L60" s="19"/>
      <c r="M60" s="19"/>
      <c r="N60" s="19"/>
      <c r="O60" s="19"/>
      <c r="P60" s="19"/>
      <c r="Q60" s="19"/>
      <c r="R60" s="19"/>
      <c r="S60" s="19"/>
      <c r="T60" s="19"/>
    </row>
    <row r="61" spans="1:20">
      <c r="A61" s="323"/>
      <c r="B61" s="322"/>
      <c r="C61" s="322"/>
      <c r="D61" s="322"/>
      <c r="E61" s="322"/>
      <c r="F61" s="320"/>
      <c r="G61" s="19"/>
      <c r="H61" s="19"/>
      <c r="I61" s="19"/>
      <c r="J61" s="19"/>
      <c r="K61" s="19"/>
      <c r="L61" s="19"/>
      <c r="M61" s="19"/>
      <c r="N61" s="19"/>
      <c r="O61" s="19"/>
      <c r="P61" s="19"/>
      <c r="Q61" s="19"/>
      <c r="R61" s="19"/>
      <c r="S61" s="19"/>
      <c r="T61" s="19"/>
    </row>
    <row r="62" spans="1:20">
      <c r="A62" s="323"/>
      <c r="B62" s="322"/>
      <c r="C62" s="322"/>
      <c r="D62" s="322"/>
      <c r="E62" s="322"/>
      <c r="F62" s="320"/>
      <c r="G62" s="19"/>
      <c r="H62" s="19"/>
      <c r="I62" s="19"/>
      <c r="J62" s="19"/>
      <c r="K62" s="19"/>
      <c r="L62" s="19"/>
      <c r="M62" s="19"/>
      <c r="N62" s="19"/>
      <c r="O62" s="19"/>
      <c r="P62" s="19"/>
      <c r="Q62" s="19"/>
      <c r="R62" s="19"/>
      <c r="S62" s="19"/>
      <c r="T62" s="19"/>
    </row>
    <row r="63" spans="1:20">
      <c r="A63" s="323"/>
      <c r="B63" s="322"/>
      <c r="C63" s="322"/>
      <c r="D63" s="322"/>
      <c r="E63" s="322"/>
      <c r="F63" s="320"/>
      <c r="G63" s="19"/>
      <c r="H63" s="19"/>
      <c r="I63" s="19"/>
      <c r="J63" s="19"/>
      <c r="K63" s="19"/>
      <c r="L63" s="19"/>
      <c r="M63" s="19"/>
      <c r="N63" s="19"/>
      <c r="O63" s="19"/>
      <c r="P63" s="19"/>
      <c r="Q63" s="19"/>
      <c r="R63" s="19"/>
      <c r="S63" s="19"/>
      <c r="T63" s="19"/>
    </row>
    <row r="64" spans="1:20">
      <c r="A64" s="323"/>
      <c r="B64" s="322"/>
      <c r="C64" s="322"/>
      <c r="D64" s="322"/>
      <c r="E64" s="322"/>
      <c r="F64" s="320"/>
      <c r="G64" s="19"/>
      <c r="H64" s="19"/>
      <c r="I64" s="19"/>
      <c r="J64" s="19"/>
      <c r="K64" s="19"/>
      <c r="L64" s="19"/>
      <c r="M64" s="19"/>
      <c r="N64" s="19"/>
      <c r="O64" s="19"/>
      <c r="P64" s="19"/>
      <c r="Q64" s="19"/>
      <c r="R64" s="19"/>
      <c r="S64" s="19"/>
      <c r="T64" s="19"/>
    </row>
    <row r="65" spans="1:20">
      <c r="A65" s="323"/>
      <c r="B65" s="322"/>
      <c r="C65" s="322"/>
      <c r="D65" s="322"/>
      <c r="E65" s="322"/>
      <c r="F65" s="320"/>
      <c r="G65" s="19"/>
      <c r="H65" s="19"/>
      <c r="I65" s="19"/>
      <c r="J65" s="19"/>
      <c r="K65" s="19"/>
      <c r="L65" s="19"/>
      <c r="M65" s="19"/>
      <c r="N65" s="19"/>
      <c r="O65" s="19"/>
      <c r="P65" s="19"/>
      <c r="Q65" s="19"/>
      <c r="R65" s="19"/>
      <c r="S65" s="19"/>
      <c r="T65" s="19"/>
    </row>
    <row r="66" spans="1:20">
      <c r="A66" s="323"/>
      <c r="B66" s="322"/>
      <c r="C66" s="322"/>
      <c r="D66" s="322"/>
      <c r="E66" s="322"/>
      <c r="F66" s="320"/>
      <c r="G66" s="19"/>
      <c r="H66" s="19"/>
      <c r="I66" s="19"/>
      <c r="J66" s="19"/>
      <c r="K66" s="19"/>
      <c r="L66" s="19"/>
      <c r="M66" s="19"/>
      <c r="N66" s="19"/>
      <c r="O66" s="19"/>
      <c r="P66" s="19"/>
      <c r="Q66" s="19"/>
      <c r="R66" s="19"/>
      <c r="S66" s="19"/>
      <c r="T66" s="19"/>
    </row>
    <row r="67" spans="1:20">
      <c r="A67" s="323"/>
      <c r="B67" s="322"/>
      <c r="C67" s="322"/>
      <c r="D67" s="322"/>
      <c r="E67" s="322"/>
      <c r="F67" s="320"/>
      <c r="G67" s="19"/>
      <c r="H67" s="19"/>
      <c r="I67" s="19"/>
      <c r="J67" s="19"/>
      <c r="K67" s="19"/>
      <c r="L67" s="19"/>
      <c r="M67" s="19"/>
      <c r="N67" s="19"/>
      <c r="O67" s="19"/>
      <c r="P67" s="19"/>
      <c r="Q67" s="19"/>
      <c r="R67" s="19"/>
      <c r="S67" s="19"/>
      <c r="T67" s="19"/>
    </row>
    <row r="68" spans="1:20">
      <c r="A68" s="323"/>
      <c r="B68" s="322"/>
      <c r="C68" s="322"/>
      <c r="D68" s="322"/>
      <c r="E68" s="322"/>
      <c r="F68" s="320"/>
      <c r="G68" s="19"/>
      <c r="H68" s="19"/>
      <c r="I68" s="19"/>
      <c r="J68" s="19"/>
      <c r="K68" s="19"/>
      <c r="L68" s="19"/>
      <c r="M68" s="19"/>
      <c r="N68" s="19"/>
      <c r="O68" s="19"/>
      <c r="P68" s="19"/>
      <c r="Q68" s="19"/>
      <c r="R68" s="19"/>
      <c r="S68" s="19"/>
      <c r="T68" s="19"/>
    </row>
    <row r="69" spans="1:20">
      <c r="A69" s="323"/>
      <c r="B69" s="322"/>
      <c r="C69" s="322"/>
      <c r="D69" s="322"/>
      <c r="E69" s="322"/>
      <c r="F69" s="320"/>
      <c r="G69" s="19"/>
      <c r="H69" s="19"/>
      <c r="I69" s="19"/>
      <c r="J69" s="19"/>
      <c r="K69" s="19"/>
      <c r="L69" s="19"/>
      <c r="M69" s="19"/>
      <c r="N69" s="19"/>
      <c r="O69" s="19"/>
      <c r="P69" s="19"/>
      <c r="Q69" s="19"/>
      <c r="R69" s="19"/>
      <c r="S69" s="19"/>
      <c r="T69" s="19"/>
    </row>
    <row r="70" spans="1:20">
      <c r="A70" s="323"/>
      <c r="B70" s="322"/>
      <c r="C70" s="322"/>
      <c r="D70" s="322"/>
      <c r="E70" s="322"/>
      <c r="F70" s="320"/>
      <c r="G70" s="19"/>
      <c r="H70" s="19"/>
      <c r="I70" s="19"/>
      <c r="J70" s="19"/>
      <c r="K70" s="19"/>
      <c r="L70" s="19"/>
      <c r="M70" s="19"/>
      <c r="N70" s="19"/>
      <c r="O70" s="19"/>
      <c r="P70" s="19"/>
      <c r="Q70" s="19"/>
      <c r="R70" s="19"/>
      <c r="S70" s="19"/>
      <c r="T70" s="19"/>
    </row>
    <row r="71" spans="1:20">
      <c r="A71" s="323"/>
      <c r="B71" s="322"/>
      <c r="C71" s="322"/>
      <c r="D71" s="322"/>
      <c r="E71" s="322"/>
      <c r="F71" s="320"/>
      <c r="G71" s="19"/>
      <c r="H71" s="19"/>
      <c r="I71" s="19"/>
      <c r="J71" s="19"/>
      <c r="K71" s="19"/>
      <c r="L71" s="19"/>
      <c r="M71" s="19"/>
      <c r="N71" s="19"/>
      <c r="O71" s="19"/>
      <c r="P71" s="19"/>
      <c r="Q71" s="19"/>
      <c r="R71" s="19"/>
      <c r="S71" s="19"/>
      <c r="T71" s="19"/>
    </row>
    <row r="72" spans="1:20">
      <c r="A72" s="323"/>
      <c r="B72" s="322"/>
      <c r="C72" s="322"/>
      <c r="D72" s="322"/>
      <c r="E72" s="322"/>
      <c r="F72" s="320"/>
      <c r="G72" s="19"/>
      <c r="H72" s="19"/>
      <c r="I72" s="19"/>
      <c r="J72" s="19"/>
      <c r="K72" s="19"/>
      <c r="L72" s="19"/>
      <c r="M72" s="19"/>
      <c r="N72" s="19"/>
      <c r="O72" s="19"/>
      <c r="P72" s="19"/>
      <c r="Q72" s="19"/>
      <c r="R72" s="19"/>
      <c r="S72" s="19"/>
      <c r="T72" s="19"/>
    </row>
    <row r="73" spans="1:20">
      <c r="A73" s="323"/>
      <c r="B73" s="322"/>
      <c r="C73" s="322"/>
      <c r="D73" s="322"/>
      <c r="E73" s="322"/>
      <c r="F73" s="320"/>
      <c r="G73" s="19"/>
      <c r="H73" s="19"/>
      <c r="I73" s="19"/>
      <c r="J73" s="19"/>
      <c r="K73" s="19"/>
      <c r="L73" s="19"/>
      <c r="M73" s="19"/>
      <c r="N73" s="19"/>
      <c r="O73" s="19"/>
      <c r="P73" s="19"/>
      <c r="Q73" s="19"/>
      <c r="R73" s="19"/>
      <c r="S73" s="19"/>
      <c r="T73" s="19"/>
    </row>
    <row r="74" spans="1:20">
      <c r="A74" s="323"/>
      <c r="B74" s="322"/>
      <c r="C74" s="322"/>
      <c r="D74" s="322"/>
      <c r="E74" s="322"/>
      <c r="F74" s="320"/>
      <c r="G74" s="19"/>
      <c r="H74" s="19"/>
      <c r="I74" s="19"/>
      <c r="J74" s="19"/>
      <c r="K74" s="19"/>
      <c r="L74" s="19"/>
      <c r="M74" s="19"/>
      <c r="N74" s="19"/>
      <c r="O74" s="19"/>
      <c r="P74" s="19"/>
      <c r="Q74" s="19"/>
      <c r="R74" s="19"/>
      <c r="S74" s="19"/>
      <c r="T74" s="19"/>
    </row>
    <row r="75" spans="1:20">
      <c r="A75" s="323"/>
      <c r="B75" s="322"/>
      <c r="C75" s="322"/>
      <c r="D75" s="322"/>
      <c r="E75" s="322"/>
      <c r="F75" s="320"/>
      <c r="G75" s="19"/>
      <c r="H75" s="19"/>
      <c r="I75" s="19"/>
      <c r="J75" s="19"/>
      <c r="K75" s="19"/>
      <c r="L75" s="19"/>
      <c r="M75" s="19"/>
      <c r="N75" s="19"/>
      <c r="O75" s="19"/>
      <c r="P75" s="19"/>
      <c r="Q75" s="19"/>
      <c r="R75" s="19"/>
      <c r="S75" s="19"/>
      <c r="T75" s="19"/>
    </row>
    <row r="76" spans="1:20">
      <c r="A76" s="323"/>
      <c r="B76" s="322"/>
      <c r="C76" s="322"/>
      <c r="D76" s="322"/>
      <c r="E76" s="322"/>
      <c r="F76" s="320"/>
      <c r="G76" s="19"/>
      <c r="H76" s="19"/>
      <c r="I76" s="19"/>
      <c r="J76" s="19"/>
      <c r="K76" s="19"/>
      <c r="L76" s="19"/>
      <c r="M76" s="19"/>
      <c r="N76" s="19"/>
      <c r="O76" s="19"/>
      <c r="P76" s="19"/>
      <c r="Q76" s="19"/>
      <c r="R76" s="19"/>
      <c r="S76" s="19"/>
      <c r="T76" s="19"/>
    </row>
    <row r="77" spans="1:20">
      <c r="A77" s="323"/>
      <c r="B77" s="322"/>
      <c r="C77" s="322"/>
      <c r="D77" s="322"/>
      <c r="E77" s="322"/>
      <c r="F77" s="320"/>
      <c r="G77" s="19"/>
      <c r="H77" s="19"/>
      <c r="I77" s="19"/>
      <c r="J77" s="19"/>
      <c r="K77" s="19"/>
      <c r="L77" s="19"/>
      <c r="M77" s="19"/>
      <c r="N77" s="19"/>
      <c r="O77" s="19"/>
      <c r="P77" s="19"/>
      <c r="Q77" s="19"/>
      <c r="R77" s="19"/>
      <c r="S77" s="19"/>
      <c r="T77" s="19"/>
    </row>
    <row r="78" spans="1:20">
      <c r="A78" s="323"/>
      <c r="B78" s="322"/>
      <c r="C78" s="322"/>
      <c r="D78" s="322"/>
      <c r="E78" s="322"/>
      <c r="F78" s="320"/>
      <c r="G78" s="19"/>
      <c r="H78" s="19"/>
      <c r="I78" s="19"/>
      <c r="J78" s="19"/>
      <c r="K78" s="19"/>
      <c r="L78" s="19"/>
      <c r="M78" s="19"/>
      <c r="N78" s="19"/>
      <c r="O78" s="19"/>
      <c r="P78" s="19"/>
      <c r="Q78" s="19"/>
      <c r="R78" s="19"/>
      <c r="S78" s="19"/>
      <c r="T78" s="19"/>
    </row>
    <row r="79" spans="1:20">
      <c r="A79" s="323"/>
      <c r="B79" s="322"/>
      <c r="C79" s="322"/>
      <c r="D79" s="322"/>
      <c r="E79" s="322"/>
      <c r="F79" s="320"/>
      <c r="G79" s="19"/>
      <c r="H79" s="19"/>
      <c r="I79" s="19"/>
      <c r="J79" s="19"/>
      <c r="K79" s="19"/>
      <c r="L79" s="19"/>
      <c r="M79" s="19"/>
      <c r="N79" s="19"/>
      <c r="O79" s="19"/>
      <c r="P79" s="19"/>
      <c r="Q79" s="19"/>
      <c r="R79" s="19"/>
      <c r="S79" s="19"/>
      <c r="T79" s="19"/>
    </row>
    <row r="80" spans="1:20">
      <c r="A80" s="323"/>
      <c r="B80" s="322"/>
      <c r="C80" s="322"/>
      <c r="D80" s="322"/>
      <c r="E80" s="322"/>
      <c r="F80" s="320"/>
      <c r="G80" s="19"/>
      <c r="H80" s="19"/>
      <c r="I80" s="19"/>
      <c r="J80" s="19"/>
      <c r="K80" s="19"/>
      <c r="L80" s="19"/>
      <c r="M80" s="19"/>
      <c r="N80" s="19"/>
      <c r="O80" s="19"/>
      <c r="P80" s="19"/>
      <c r="Q80" s="19"/>
      <c r="R80" s="19"/>
      <c r="S80" s="19"/>
      <c r="T80" s="19"/>
    </row>
    <row r="81" spans="1:20">
      <c r="A81" s="323"/>
      <c r="B81" s="322"/>
      <c r="C81" s="322"/>
      <c r="D81" s="322"/>
      <c r="E81" s="322"/>
      <c r="F81" s="320"/>
      <c r="G81" s="19"/>
      <c r="H81" s="19"/>
      <c r="I81" s="19"/>
      <c r="J81" s="19"/>
      <c r="K81" s="19"/>
      <c r="L81" s="19"/>
      <c r="M81" s="19"/>
      <c r="N81" s="19"/>
      <c r="O81" s="19"/>
      <c r="P81" s="19"/>
      <c r="Q81" s="19"/>
      <c r="R81" s="19"/>
      <c r="S81" s="19"/>
      <c r="T81" s="19"/>
    </row>
    <row r="82" spans="1:20">
      <c r="A82" s="323"/>
      <c r="B82" s="322"/>
      <c r="C82" s="322"/>
      <c r="D82" s="322"/>
      <c r="E82" s="322"/>
      <c r="F82" s="320"/>
      <c r="G82" s="19"/>
      <c r="H82" s="19"/>
      <c r="I82" s="19"/>
      <c r="J82" s="19"/>
      <c r="K82" s="19"/>
      <c r="L82" s="19"/>
      <c r="M82" s="19"/>
      <c r="N82" s="19"/>
      <c r="O82" s="19"/>
      <c r="P82" s="19"/>
      <c r="Q82" s="19"/>
      <c r="R82" s="19"/>
      <c r="S82" s="19"/>
      <c r="T82" s="19"/>
    </row>
    <row r="83" spans="1:20">
      <c r="A83" s="323"/>
      <c r="B83" s="322"/>
      <c r="C83" s="322"/>
      <c r="D83" s="322"/>
      <c r="E83" s="322"/>
      <c r="F83" s="320"/>
      <c r="G83" s="19"/>
      <c r="H83" s="19"/>
      <c r="I83" s="19"/>
      <c r="J83" s="19"/>
      <c r="K83" s="19"/>
      <c r="L83" s="19"/>
      <c r="M83" s="19"/>
      <c r="N83" s="19"/>
      <c r="O83" s="19"/>
      <c r="P83" s="19"/>
      <c r="Q83" s="19"/>
      <c r="R83" s="19"/>
      <c r="S83" s="19"/>
      <c r="T83" s="19"/>
    </row>
    <row r="84" spans="1:20">
      <c r="A84" s="323"/>
      <c r="B84" s="322"/>
      <c r="C84" s="322"/>
      <c r="D84" s="322"/>
      <c r="E84" s="322"/>
      <c r="F84" s="320"/>
      <c r="G84" s="19"/>
      <c r="H84" s="19"/>
      <c r="I84" s="19"/>
      <c r="J84" s="19"/>
      <c r="K84" s="19"/>
      <c r="L84" s="19"/>
      <c r="M84" s="19"/>
      <c r="N84" s="19"/>
      <c r="O84" s="19"/>
      <c r="P84" s="19"/>
      <c r="Q84" s="19"/>
      <c r="R84" s="19"/>
      <c r="S84" s="19"/>
      <c r="T84" s="19"/>
    </row>
    <row r="85" spans="1:20">
      <c r="A85" s="170"/>
      <c r="B85" s="170"/>
      <c r="C85" s="19"/>
      <c r="D85" s="19"/>
      <c r="E85" s="19"/>
      <c r="F85" s="19"/>
      <c r="G85" s="19"/>
      <c r="H85" s="19"/>
      <c r="I85" s="19"/>
      <c r="J85" s="19"/>
      <c r="K85" s="19"/>
      <c r="L85" s="19"/>
      <c r="M85" s="19"/>
      <c r="N85" s="19"/>
      <c r="O85" s="19"/>
      <c r="P85" s="19"/>
      <c r="Q85" s="19"/>
      <c r="R85" s="19"/>
      <c r="S85" s="19"/>
      <c r="T85" s="19"/>
    </row>
    <row r="86" spans="1:20">
      <c r="A86" s="170"/>
      <c r="B86" s="170"/>
      <c r="C86" s="19"/>
      <c r="D86" s="19"/>
      <c r="E86" s="19"/>
      <c r="F86" s="19"/>
      <c r="G86" s="19"/>
      <c r="H86" s="19"/>
      <c r="I86" s="19"/>
      <c r="J86" s="19"/>
      <c r="K86" s="19"/>
      <c r="L86" s="19"/>
      <c r="M86" s="19"/>
      <c r="N86" s="19"/>
      <c r="O86" s="19"/>
      <c r="P86" s="19"/>
      <c r="Q86" s="19"/>
      <c r="R86" s="19"/>
      <c r="S86" s="19"/>
      <c r="T86" s="19"/>
    </row>
  </sheetData>
  <mergeCells count="13">
    <mergeCell ref="A1:A2"/>
    <mergeCell ref="B1:C1"/>
    <mergeCell ref="B2:C2"/>
    <mergeCell ref="L3:M3"/>
    <mergeCell ref="N3:O3"/>
    <mergeCell ref="G2:J2"/>
    <mergeCell ref="G3:H3"/>
    <mergeCell ref="I3:J3"/>
    <mergeCell ref="D1:E1"/>
    <mergeCell ref="D2:E2"/>
    <mergeCell ref="G1:J1"/>
    <mergeCell ref="L1:O1"/>
    <mergeCell ref="L2:O2"/>
  </mergeCells>
  <conditionalFormatting sqref="A1:E84">
    <cfRule type="containsBlanks" dxfId="22" priority="5">
      <formula>LEN(TRIM(A1))=0</formula>
    </cfRule>
  </conditionalFormatting>
  <conditionalFormatting sqref="B4:E4">
    <cfRule type="containsText" dxfId="21" priority="2" operator="containsText" text="Afventer">
      <formula>NOT(ISERROR(SEARCH("Afventer",B4)))</formula>
    </cfRule>
  </conditionalFormatting>
  <conditionalFormatting sqref="G5:J5">
    <cfRule type="cellIs" dxfId="20" priority="6" operator="equal">
      <formula>-10</formula>
    </cfRule>
    <cfRule type="cellIs" dxfId="19" priority="7" operator="equal">
      <formula>0</formula>
    </cfRule>
  </conditionalFormatting>
  <conditionalFormatting sqref="L5:O5">
    <cfRule type="cellIs" dxfId="18" priority="3" operator="equal">
      <formula>-10</formula>
    </cfRule>
    <cfRule type="cellIs" dxfId="17" priority="4" operator="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00F95-5E80-4FA6-8AB9-025318FBE1BA}">
  <sheetPr>
    <tabColor theme="0" tint="-0.249977111117893"/>
  </sheetPr>
  <dimension ref="A1:CJ89"/>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ColWidth="0" defaultRowHeight="15" zeroHeight="1"/>
  <cols>
    <col min="1" max="1" width="7.42578125" bestFit="1" customWidth="1"/>
    <col min="2" max="2" width="8.140625" bestFit="1" customWidth="1"/>
    <col min="3" max="3" width="18.42578125" bestFit="1" customWidth="1"/>
    <col min="4" max="4" width="19.42578125" style="139" bestFit="1" customWidth="1"/>
    <col min="5" max="5" width="12.42578125" style="139" bestFit="1" customWidth="1"/>
    <col min="6" max="7" width="15.42578125" style="139" bestFit="1" customWidth="1"/>
    <col min="8" max="8" width="13.85546875" style="139" bestFit="1" customWidth="1"/>
    <col min="9" max="9" width="17.42578125" style="139" bestFit="1" customWidth="1"/>
    <col min="10" max="10" width="14.85546875" bestFit="1" customWidth="1"/>
    <col min="11" max="11" width="18" bestFit="1" customWidth="1"/>
    <col min="12" max="12" width="49.85546875" bestFit="1" customWidth="1"/>
    <col min="13" max="13" width="17.140625" bestFit="1" customWidth="1"/>
    <col min="14" max="14" width="16.7109375" bestFit="1" customWidth="1"/>
    <col min="15" max="15" width="23.85546875" bestFit="1" customWidth="1"/>
    <col min="16" max="16" width="13.85546875" bestFit="1" customWidth="1"/>
    <col min="17" max="18" width="16.85546875" bestFit="1" customWidth="1"/>
    <col min="19" max="20" width="17.85546875" bestFit="1" customWidth="1"/>
    <col min="21" max="21" width="23.85546875" bestFit="1" customWidth="1"/>
    <col min="22" max="22" width="13.7109375" bestFit="1" customWidth="1"/>
    <col min="23" max="24" width="16.7109375" bestFit="1" customWidth="1"/>
    <col min="25" max="26" width="17.7109375" bestFit="1" customWidth="1"/>
    <col min="27" max="27" width="19.140625" bestFit="1" customWidth="1"/>
    <col min="28" max="28" width="18.42578125" bestFit="1" customWidth="1"/>
    <col min="29" max="29" width="23.140625" bestFit="1" customWidth="1"/>
    <col min="30" max="30" width="21.85546875" bestFit="1" customWidth="1"/>
    <col min="31" max="31" width="21.28515625" bestFit="1" customWidth="1"/>
    <col min="32" max="32" width="11.28515625" bestFit="1" customWidth="1"/>
    <col min="33" max="33" width="10.42578125" bestFit="1" customWidth="1"/>
    <col min="34" max="34" width="16.42578125" bestFit="1" customWidth="1"/>
    <col min="35" max="35" width="27.42578125" bestFit="1" customWidth="1"/>
    <col min="36" max="36" width="16.42578125" bestFit="1" customWidth="1"/>
    <col min="37" max="37" width="27.140625" bestFit="1" customWidth="1"/>
    <col min="38" max="38" width="16.7109375" bestFit="1" customWidth="1"/>
    <col min="39" max="39" width="27.42578125" bestFit="1" customWidth="1"/>
    <col min="40" max="40" width="15" bestFit="1" customWidth="1"/>
    <col min="41" max="41" width="27.42578125" bestFit="1" customWidth="1"/>
    <col min="42" max="42" width="27" bestFit="1" customWidth="1"/>
    <col min="43" max="43" width="20.140625" bestFit="1" customWidth="1"/>
    <col min="44" max="44" width="30.85546875" bestFit="1" customWidth="1"/>
    <col min="45" max="45" width="18" bestFit="1" customWidth="1"/>
    <col min="46" max="46" width="14.42578125" bestFit="1" customWidth="1"/>
    <col min="47" max="47" width="25.140625" bestFit="1" customWidth="1"/>
    <col min="48" max="48" width="16.42578125" bestFit="1" customWidth="1"/>
    <col min="49" max="49" width="15.85546875" bestFit="1" customWidth="1"/>
    <col min="50" max="50" width="11.28515625" bestFit="1" customWidth="1"/>
    <col min="51" max="51" width="10.42578125" bestFit="1" customWidth="1"/>
    <col min="52" max="52" width="16.7109375" bestFit="1" customWidth="1"/>
    <col min="53" max="53" width="15" bestFit="1" customWidth="1"/>
    <col min="54" max="54" width="26" bestFit="1" customWidth="1"/>
    <col min="55" max="55" width="27.42578125" bestFit="1" customWidth="1"/>
    <col min="56" max="56" width="16.42578125" bestFit="1" customWidth="1"/>
    <col min="57" max="57" width="16.140625" bestFit="1" customWidth="1"/>
    <col min="58" max="58" width="11.28515625" bestFit="1" customWidth="1"/>
    <col min="59" max="59" width="10.42578125" style="143" bestFit="1" customWidth="1"/>
    <col min="60" max="60" width="16.85546875" bestFit="1" customWidth="1"/>
    <col min="61" max="61" width="15.140625" bestFit="1" customWidth="1"/>
    <col min="62" max="62" width="26.140625" bestFit="1" customWidth="1"/>
    <col min="63" max="63" width="27.42578125" bestFit="1" customWidth="1"/>
    <col min="64" max="64" width="15.85546875" bestFit="1" customWidth="1"/>
    <col min="65" max="65" width="15.42578125" bestFit="1" customWidth="1"/>
    <col min="66" max="66" width="11.28515625" bestFit="1" customWidth="1"/>
    <col min="67" max="67" width="9.85546875" bestFit="1" customWidth="1"/>
    <col min="68" max="68" width="16.140625" bestFit="1" customWidth="1"/>
    <col min="69" max="69" width="14.28515625" bestFit="1" customWidth="1"/>
    <col min="70" max="70" width="25.42578125" bestFit="1" customWidth="1"/>
    <col min="71" max="71" width="27" bestFit="1" customWidth="1"/>
    <col min="72" max="72" width="16.42578125" bestFit="1" customWidth="1"/>
    <col min="73" max="73" width="16.140625" bestFit="1" customWidth="1"/>
    <col min="74" max="74" width="11.28515625" bestFit="1" customWidth="1"/>
    <col min="75" max="75" width="10.7109375" bestFit="1" customWidth="1"/>
    <col min="76" max="76" width="17" bestFit="1" customWidth="1"/>
    <col min="77" max="77" width="15.28515625" bestFit="1" customWidth="1"/>
    <col min="78" max="78" width="26.28515625" bestFit="1" customWidth="1"/>
    <col min="79" max="79" width="27.85546875" bestFit="1" customWidth="1"/>
    <col min="80" max="80" width="16.42578125" bestFit="1" customWidth="1"/>
    <col min="81" max="81" width="15.85546875" bestFit="1" customWidth="1"/>
    <col min="82" max="82" width="11.28515625" bestFit="1" customWidth="1"/>
    <col min="83" max="83" width="10.42578125" bestFit="1" customWidth="1"/>
    <col min="84" max="84" width="16.7109375" bestFit="1" customWidth="1"/>
    <col min="85" max="85" width="15" bestFit="1" customWidth="1"/>
    <col min="86" max="86" width="26" bestFit="1" customWidth="1"/>
    <col min="87" max="87" width="27.42578125" bestFit="1" customWidth="1"/>
    <col min="88" max="88" width="8.7109375" customWidth="1"/>
    <col min="89" max="16384" width="8.7109375" hidden="1"/>
  </cols>
  <sheetData>
    <row r="1" spans="1:88" s="139" customFormat="1">
      <c r="A1" s="168" t="s">
        <v>395</v>
      </c>
      <c r="B1" s="168" t="s">
        <v>429</v>
      </c>
      <c r="C1" s="170"/>
      <c r="D1" s="168" t="s">
        <v>33</v>
      </c>
      <c r="E1" s="168" t="s">
        <v>42</v>
      </c>
      <c r="F1" s="168" t="s">
        <v>248</v>
      </c>
      <c r="G1" s="168" t="s">
        <v>40</v>
      </c>
      <c r="H1" s="168" t="s">
        <v>36</v>
      </c>
      <c r="I1" s="215"/>
      <c r="J1" s="168" t="s">
        <v>28</v>
      </c>
      <c r="K1" s="168" t="s">
        <v>248</v>
      </c>
      <c r="L1" s="168" t="s">
        <v>356</v>
      </c>
      <c r="M1" s="215"/>
      <c r="N1" s="215"/>
      <c r="O1" s="215"/>
      <c r="P1" s="215"/>
      <c r="Q1" s="215"/>
      <c r="R1" s="215"/>
      <c r="S1" s="215"/>
      <c r="T1" s="135"/>
      <c r="U1" s="135"/>
      <c r="V1" s="135"/>
      <c r="W1" s="135"/>
      <c r="X1" s="135"/>
      <c r="Y1" s="135"/>
      <c r="Z1" s="135"/>
      <c r="AA1" s="135"/>
      <c r="AB1" s="135"/>
      <c r="AC1" s="135"/>
      <c r="AD1" s="135"/>
      <c r="AE1" s="135"/>
      <c r="AF1" s="168" t="s">
        <v>27</v>
      </c>
      <c r="AG1" s="168" t="s">
        <v>99</v>
      </c>
      <c r="AH1" s="168" t="s">
        <v>27</v>
      </c>
      <c r="AI1" s="168" t="s">
        <v>104</v>
      </c>
      <c r="AJ1" s="135"/>
      <c r="AK1" s="135"/>
      <c r="AL1" s="135"/>
      <c r="AM1" s="135"/>
      <c r="AN1" s="135"/>
      <c r="AO1" s="135"/>
      <c r="AP1" s="135"/>
      <c r="AQ1" s="135"/>
      <c r="AR1" s="135"/>
      <c r="AS1" s="135"/>
      <c r="AT1" s="135"/>
      <c r="AU1" s="260"/>
      <c r="AV1" s="251" t="s">
        <v>104</v>
      </c>
      <c r="AW1" s="168" t="s">
        <v>32</v>
      </c>
      <c r="AX1" s="168" t="s">
        <v>27</v>
      </c>
      <c r="AY1" s="168" t="s">
        <v>99</v>
      </c>
      <c r="AZ1" s="168" t="s">
        <v>27</v>
      </c>
      <c r="BA1" s="135"/>
      <c r="BB1" s="135"/>
      <c r="BC1" s="254" t="s">
        <v>415</v>
      </c>
      <c r="BD1" s="257" t="s">
        <v>104</v>
      </c>
      <c r="BE1" s="168" t="s">
        <v>32</v>
      </c>
      <c r="BF1" s="168" t="s">
        <v>27</v>
      </c>
      <c r="BG1" s="168" t="s">
        <v>99</v>
      </c>
      <c r="BH1" s="168" t="s">
        <v>27</v>
      </c>
      <c r="BI1" s="135"/>
      <c r="BJ1" s="135"/>
      <c r="BK1" s="254" t="s">
        <v>415</v>
      </c>
      <c r="BL1" s="257" t="s">
        <v>104</v>
      </c>
      <c r="BM1" s="168" t="s">
        <v>32</v>
      </c>
      <c r="BN1" s="168" t="s">
        <v>27</v>
      </c>
      <c r="BO1" s="168" t="s">
        <v>99</v>
      </c>
      <c r="BP1" s="168" t="s">
        <v>27</v>
      </c>
      <c r="BQ1" s="135"/>
      <c r="BR1" s="135"/>
      <c r="BS1" s="254" t="s">
        <v>415</v>
      </c>
      <c r="BT1" s="257" t="s">
        <v>104</v>
      </c>
      <c r="BU1" s="168" t="s">
        <v>32</v>
      </c>
      <c r="BV1" s="168" t="s">
        <v>27</v>
      </c>
      <c r="BW1" s="168" t="s">
        <v>99</v>
      </c>
      <c r="BX1" s="168" t="s">
        <v>27</v>
      </c>
      <c r="BY1" s="135"/>
      <c r="BZ1" s="135"/>
      <c r="CA1" s="254" t="s">
        <v>415</v>
      </c>
      <c r="CB1" s="251" t="s">
        <v>104</v>
      </c>
      <c r="CC1" s="168" t="s">
        <v>32</v>
      </c>
      <c r="CD1" s="168" t="s">
        <v>27</v>
      </c>
      <c r="CE1" s="168" t="s">
        <v>99</v>
      </c>
      <c r="CF1" s="168" t="s">
        <v>27</v>
      </c>
      <c r="CG1" s="135"/>
      <c r="CH1" s="135"/>
      <c r="CI1" s="254" t="s">
        <v>415</v>
      </c>
      <c r="CJ1" s="170"/>
    </row>
    <row r="2" spans="1:88" s="139" customFormat="1">
      <c r="A2" s="169" cm="1">
        <f t="array" ref="A2">Input_Tidshorisont</f>
        <v>50</v>
      </c>
      <c r="B2" s="169">
        <f>Input_Etableringsår</f>
        <v>2024</v>
      </c>
      <c r="D2" s="169" t="str">
        <f>FB_Materiale</f>
        <v>&gt; Vælg facadebeklædning</v>
      </c>
      <c r="E2" s="169" t="str">
        <f>SK_Materiale</f>
        <v>&gt; Vælg skelet (Afventer)</v>
      </c>
      <c r="F2" s="169" t="str">
        <f>EI_Materiale</f>
        <v>&gt; Vælg isolering (Afventer)</v>
      </c>
      <c r="G2" s="169" t="str">
        <f>AP_Materiale</f>
        <v>&gt; Vælg afstandsprofil</v>
      </c>
      <c r="H2" s="169" t="str">
        <f>VS_Materiale</f>
        <v>&gt; Vælg vindspærre</v>
      </c>
      <c r="I2" s="135"/>
      <c r="J2" s="169">
        <f>A5_ElVarmeBrændstofByggeplads</f>
        <v>0.25</v>
      </c>
      <c r="K2" s="169" t="str">
        <f>Input_Isolering&amp;" ("&amp;Input_Isoleringstykkelse&amp;")"</f>
        <v>&gt; Vælg isolering (Afventer)</v>
      </c>
      <c r="L2" s="169" t="str">
        <f>Input_EksisterendeFacade</f>
        <v>&gt; Vælg eksisterende ydervæg inkl. isolering + efterisolering</v>
      </c>
      <c r="M2" s="135"/>
      <c r="N2" s="135"/>
      <c r="O2" s="135"/>
      <c r="P2" s="135"/>
      <c r="Q2" s="135"/>
      <c r="R2" s="135"/>
      <c r="S2" s="135"/>
      <c r="T2" s="135"/>
      <c r="U2" s="135"/>
      <c r="V2" s="135"/>
      <c r="W2" s="135"/>
      <c r="X2" s="135"/>
      <c r="Y2" s="135"/>
      <c r="Z2" s="135"/>
      <c r="AA2" s="135"/>
      <c r="AB2" s="135"/>
      <c r="AC2" s="135"/>
      <c r="AD2" s="135"/>
      <c r="AE2" s="135"/>
      <c r="AF2" s="240">
        <f>Økonomi_EksisterendeYdervæg[[#This Row],[V-interval]]</f>
        <v>1</v>
      </c>
      <c r="AG2" s="169">
        <f>Økonomi_EksisterendeYdervæg[[#This Row],[Levetid]]</f>
        <v>80</v>
      </c>
      <c r="AH2" s="242">
        <f>Økonomi_EksisterendeYdervæg[[#This Row],[V-procent]]</f>
        <v>0.02</v>
      </c>
      <c r="AI2" s="241">
        <f>Økonomi_EksisterendeYdervæg[[#This Row],[Enhedspris]]</f>
        <v>532.41417433502318</v>
      </c>
      <c r="AJ2" s="135"/>
      <c r="AK2" s="135"/>
      <c r="AL2" s="135"/>
      <c r="AM2" s="135"/>
      <c r="AN2" s="135"/>
      <c r="AO2" s="135"/>
      <c r="AP2" s="135"/>
      <c r="AQ2" s="135"/>
      <c r="AR2" s="135"/>
      <c r="AS2" s="135"/>
      <c r="AT2" s="135"/>
      <c r="AU2" s="260"/>
      <c r="AV2" s="252" t="str" cm="1">
        <f t="array" ref="AV2">IFERROR(INDEX(Materialedata[Pris/m²],MATCH(1,(Materialedata[Komponent]=AV4)*(Materialedata[Materiale]=FB_Materiale),0)),BlankTegn)</f>
        <v>.</v>
      </c>
      <c r="AW2" s="169" t="str">
        <f>Input_Facadebeklædning</f>
        <v>&gt; Vælg facadebeklædning</v>
      </c>
      <c r="AX2" s="169" t="str" cm="1">
        <f t="array" ref="AX2">IFERROR(INDEX(Materialedata[V-interval],MATCH(1,(Materialedata[Komponent]=AV4)*(Materialedata[Materiale]=FB_Materiale),0)),BlankTegn)</f>
        <v>.</v>
      </c>
      <c r="AY2" s="169" t="str" cm="1">
        <f t="array" ref="AY2">IFERROR(INDEX(Materialedata[Levetid],MATCH(1,(Materialedata[Komponent]=AV4)*(Materialedata[Materiale]=FB_Materiale),0)),BlankTegn)</f>
        <v>.</v>
      </c>
      <c r="AZ2" s="242" t="str" cm="1">
        <f t="array" ref="AZ2">IFERROR(INDEX(Materialedata[V-procent],MATCH(1,(Materialedata[Komponent]=AV4)*(Materialedata[Materiale]=FB_Materiale),0)),BlankTegn)</f>
        <v>.</v>
      </c>
      <c r="BA2" s="135"/>
      <c r="BB2" s="135"/>
      <c r="BC2" s="255" cm="1">
        <f t="array" ref="BC2">IFERROR(INDEX(Økonomi_Klimafacade[Genoprettelse],MATCH(1,(Økonomi_Klimafacade[Komponent]=AV4)*(Økonomi_Klimafacade[Materiale]=FB_Materiale),0)),BlankTegn)</f>
        <v>1.25</v>
      </c>
      <c r="BD2" s="258" t="str" cm="1">
        <f t="array" ref="BD2">IFERROR(INDEX(Materialedata[Pris/m²],MATCH(1,(Materialedata[Komponent]=BD4)*(Materialedata[Materiale]=VS_Materiale),0)),BlankTegn)</f>
        <v>.</v>
      </c>
      <c r="BE2" s="169" t="str">
        <f>Input_Vindspærre</f>
        <v>&gt; Vælg vindspærre</v>
      </c>
      <c r="BF2" s="169" t="str" cm="1">
        <f t="array" ref="BF2">IFERROR(INDEX(Materialedata[V-interval],MATCH(1,(Materialedata[Komponent]=BD4)*(Materialedata[Materiale]=VS_Materiale),0)),BlankTegn)</f>
        <v>.</v>
      </c>
      <c r="BG2" s="169" t="str" cm="1">
        <f t="array" ref="BG2">IFERROR(INDEX(Materialedata[Levetid],MATCH(1,(Materialedata[Komponent]=BD4)*(Materialedata[Materiale]=VS_Materiale),0)),BlankTegn)</f>
        <v>.</v>
      </c>
      <c r="BH2" s="242" t="str" cm="1">
        <f t="array" ref="BH2">IFERROR(INDEX(Materialedata[V-procent],MATCH(1,(Materialedata[Komponent]=BD4)*(Materialedata[Materiale]=VS_Materiale),0)),BlankTegn)</f>
        <v>.</v>
      </c>
      <c r="BI2" s="135"/>
      <c r="BJ2" s="135"/>
      <c r="BK2" s="255" cm="1">
        <f t="array" ref="BK2">IFERROR(INDEX(Økonomi_Klimafacade[Genoprettelse],MATCH(1,(Økonomi_Klimafacade[Komponent]=BD4)*(Økonomi_Klimafacade[Materiale]=VS_Materiale),0)),BlankTegn)</f>
        <v>1.25</v>
      </c>
      <c r="BL2" s="258" t="str" cm="1">
        <f t="array" ref="BL2">IFERROR(INDEX(Materialedata[Pris/m²],MATCH(1,(Materialedata[Komponent]=BL4)*(Materialedata[Materiale]=EI_Materiale),0)),BlankTegn)</f>
        <v>.</v>
      </c>
      <c r="BM2" s="169" t="str">
        <f>Input_Isolering&amp;" ("&amp;Input_Isoleringstykkelse&amp;")"</f>
        <v>&gt; Vælg isolering (Afventer)</v>
      </c>
      <c r="BN2" s="169" t="str" cm="1">
        <f t="array" ref="BN2">IFERROR(INDEX(Materialedata[V-interval],MATCH(1,(Materialedata[Komponent]=BL4)*(Materialedata[Materiale]=EI_Materiale),0)),BlankTegn)</f>
        <v>.</v>
      </c>
      <c r="BO2" s="169" t="str" cm="1">
        <f t="array" ref="BO2">IFERROR(INDEX(Materialedata[Levetid],MATCH(1,(Materialedata[Komponent]=BL4)*(Materialedata[Materiale]=EI_Materiale),0)),BlankTegn)</f>
        <v>.</v>
      </c>
      <c r="BP2" s="242" t="str" cm="1">
        <f t="array" ref="BP2">IFERROR(INDEX(Materialedata[V-procent],MATCH(1,(Materialedata[Komponent]=BL4)*(Materialedata[Materiale]=EI_Materiale),0)),BlankTegn)</f>
        <v>.</v>
      </c>
      <c r="BQ2" s="135"/>
      <c r="BR2" s="135"/>
      <c r="BS2" s="255" cm="1">
        <f t="array" ref="BS2">IFERROR(INDEX(Økonomi_Klimafacade[Genoprettelse],MATCH(1,(Økonomi_Klimafacade[Komponent]=BL4)*(Økonomi_Klimafacade[Materiale]=EI_Materiale),0)),BlankTegn)</f>
        <v>1.25</v>
      </c>
      <c r="BT2" s="258" t="str" cm="1">
        <f t="array" ref="BT2">IFERROR(INDEX(Materialedata[Pris/m²],MATCH(1,(Materialedata[Komponent]=BT4)*(Materialedata[Materiale]=AP_Materiale),0)),BlankTegn)</f>
        <v>.</v>
      </c>
      <c r="BU2" s="169" t="str">
        <f>Input_Afstandsprofil</f>
        <v>&gt; Vælg afstandsprofil</v>
      </c>
      <c r="BV2" s="169" t="str" cm="1">
        <f t="array" ref="BV2">IFERROR(INDEX(Materialedata[V-interval],MATCH(1,(Materialedata[Komponent]=BT4)*(Materialedata[Materiale]=AP_Materiale),0)),BlankTegn)</f>
        <v>.</v>
      </c>
      <c r="BW2" s="316" t="str" cm="1">
        <f t="array" ref="BW2">IFERROR(INDEX(Materialedata[Levetid],MATCH(1,(Materialedata[Komponent]=BT4)*(Materialedata[Materiale]=AP_Materiale),0)),BlankTegn)</f>
        <v>.</v>
      </c>
      <c r="BX2" s="242" t="str" cm="1">
        <f t="array" ref="BX2">IFERROR(INDEX(Materialedata[V-procent],MATCH(1,(Materialedata[Komponent]=BT4)*(Materialedata[Materiale]=AP_Materiale),0)),BlankTegn)</f>
        <v>.</v>
      </c>
      <c r="BY2" s="135"/>
      <c r="BZ2" s="135"/>
      <c r="CA2" s="255" cm="1">
        <f t="array" ref="CA2">IFERROR(INDEX(Økonomi_Klimafacade[Genoprettelse],MATCH(1,(Økonomi_Klimafacade[Komponent]=BT4)*(Økonomi_Klimafacade[Materiale]=AP_Materiale),0)),BlankTegn)</f>
        <v>1.25</v>
      </c>
      <c r="CB2" s="252" t="str" cm="1">
        <f t="array" ref="CB2">IFERROR(INDEX(Materialedata[Pris/m²],MATCH(1,(Materialedata[Komponent]=CB4)*(Materialedata[Materiale]=SK_Materiale),0)),BlankTegn)</f>
        <v>.</v>
      </c>
      <c r="CC2" s="169" t="str">
        <f>Input_Skelet&amp;" ("&amp;Input_Isoleringstykkelse&amp;")"</f>
        <v>&gt; Vælg skelet (Afventer)</v>
      </c>
      <c r="CD2" s="169" t="str" cm="1">
        <f t="array" ref="CD2">IFERROR(INDEX(Materialedata[V-interval],MATCH(1,(Materialedata[Komponent]=CB4)*(Materialedata[Materiale]=SK_Materiale),0)),BlankTegn)</f>
        <v>.</v>
      </c>
      <c r="CE2" s="316" t="str" cm="1">
        <f t="array" ref="CE2">IFERROR(INDEX(Materialedata[Levetid],MATCH(1,(Materialedata[Komponent]=CB4)*(Materialedata[Materiale]=SK_Materiale),0)),BlankTegn)</f>
        <v>.</v>
      </c>
      <c r="CF2" s="242" t="str" cm="1">
        <f t="array" ref="CF2">IFERROR(INDEX(Materialedata[V-procent],MATCH(1,(Materialedata[Komponent]=CB4)*(Materialedata[Materiale]=SK_Materiale),0)),BlankTegn)</f>
        <v>.</v>
      </c>
      <c r="CG2" s="135"/>
      <c r="CH2" s="135"/>
      <c r="CI2" s="255" cm="1">
        <f t="array" ref="CI2">IFERROR(INDEX(Økonomi_Klimafacade[Genoprettelse],MATCH(1,(Økonomi_Klimafacade[Komponent]=CB4)*(Økonomi_Klimafacade[Materiale]=SK_Materiale),0)),BlankTegn)</f>
        <v>1.25</v>
      </c>
      <c r="CJ2" s="170"/>
    </row>
    <row r="3" spans="1:88">
      <c r="A3" s="243"/>
      <c r="B3" s="7"/>
      <c r="C3" s="19"/>
      <c r="D3" s="135"/>
      <c r="E3" s="135"/>
      <c r="F3" s="153"/>
      <c r="G3" s="153"/>
      <c r="H3" s="153"/>
      <c r="I3" s="135"/>
      <c r="J3" s="7"/>
      <c r="K3" s="7"/>
      <c r="L3" s="17"/>
      <c r="M3" s="7"/>
      <c r="N3" s="7"/>
      <c r="O3" s="7"/>
      <c r="P3" s="7"/>
      <c r="Q3" s="7"/>
      <c r="R3" s="7"/>
      <c r="S3" s="7"/>
      <c r="T3" s="7"/>
      <c r="U3" s="7"/>
      <c r="V3" s="7"/>
      <c r="W3" s="7"/>
      <c r="X3" s="7"/>
      <c r="Y3" s="7"/>
      <c r="Z3" s="7"/>
      <c r="AA3" s="7"/>
      <c r="AB3" s="7"/>
      <c r="AC3" s="7"/>
      <c r="AD3" s="7"/>
      <c r="AE3" s="7"/>
      <c r="AF3" s="19"/>
      <c r="AG3" s="19"/>
      <c r="AH3" s="19"/>
      <c r="AI3" s="19"/>
      <c r="AJ3" s="7"/>
      <c r="AK3" s="7"/>
      <c r="AL3" s="7"/>
      <c r="AM3" s="7"/>
      <c r="AN3" s="7"/>
      <c r="AO3" s="7"/>
      <c r="AP3" s="7"/>
      <c r="AQ3" s="7"/>
      <c r="AR3" s="7"/>
      <c r="AS3" s="7"/>
      <c r="AT3" s="7"/>
      <c r="AU3" s="256"/>
      <c r="AV3" s="7"/>
      <c r="AW3" s="7"/>
      <c r="AX3" s="7"/>
      <c r="AY3" s="7"/>
      <c r="AZ3" s="7"/>
      <c r="BA3" s="7"/>
      <c r="BB3" s="253"/>
      <c r="BC3" s="256"/>
      <c r="BD3" s="259"/>
      <c r="BE3" s="7"/>
      <c r="BF3" s="7"/>
      <c r="BG3" s="7"/>
      <c r="BH3" s="7"/>
      <c r="BI3" s="7"/>
      <c r="BJ3" s="253"/>
      <c r="BK3" s="256"/>
      <c r="BL3" s="259"/>
      <c r="BM3" s="7"/>
      <c r="BN3" s="7"/>
      <c r="BO3" s="7"/>
      <c r="BP3" s="7"/>
      <c r="BQ3" s="7"/>
      <c r="BR3" s="253"/>
      <c r="BS3" s="256"/>
      <c r="BT3" s="259"/>
      <c r="BU3" s="7"/>
      <c r="BV3" s="7"/>
      <c r="BW3" s="7"/>
      <c r="BX3" s="7"/>
      <c r="BY3" s="7"/>
      <c r="BZ3" s="253"/>
      <c r="CA3" s="256"/>
      <c r="CB3" s="7"/>
      <c r="CC3" s="7"/>
      <c r="CD3" s="7"/>
      <c r="CE3" s="7"/>
      <c r="CF3" s="7"/>
      <c r="CG3" s="7"/>
      <c r="CH3" s="253"/>
      <c r="CI3" s="256"/>
      <c r="CJ3" s="19"/>
    </row>
    <row r="4" spans="1:88" s="171" customFormat="1" ht="14.45" customHeight="1">
      <c r="A4" s="488" t="s">
        <v>352</v>
      </c>
      <c r="B4" s="541"/>
      <c r="C4" s="272" t="s">
        <v>107</v>
      </c>
      <c r="D4" s="538" t="s">
        <v>421</v>
      </c>
      <c r="E4" s="539"/>
      <c r="F4" s="539"/>
      <c r="G4" s="539"/>
      <c r="H4" s="539"/>
      <c r="I4" s="540"/>
      <c r="J4" s="248" t="s">
        <v>28</v>
      </c>
      <c r="K4" s="248" t="s">
        <v>30</v>
      </c>
      <c r="L4" s="532" t="s">
        <v>542</v>
      </c>
      <c r="M4" s="534" t="s">
        <v>375</v>
      </c>
      <c r="N4" s="535"/>
      <c r="O4" s="532" t="s">
        <v>509</v>
      </c>
      <c r="P4" s="542" t="s">
        <v>500</v>
      </c>
      <c r="Q4" s="538"/>
      <c r="R4" s="538"/>
      <c r="S4" s="538"/>
      <c r="T4" s="543"/>
      <c r="U4" s="514" t="s">
        <v>510</v>
      </c>
      <c r="V4" s="509" t="s">
        <v>501</v>
      </c>
      <c r="W4" s="509"/>
      <c r="X4" s="509"/>
      <c r="Y4" s="509"/>
      <c r="Z4" s="510"/>
      <c r="AA4" s="545" t="s">
        <v>51</v>
      </c>
      <c r="AB4" s="510"/>
      <c r="AC4" s="244" t="s">
        <v>445</v>
      </c>
      <c r="AD4" s="545" t="s">
        <v>52</v>
      </c>
      <c r="AE4" s="548"/>
      <c r="AF4" s="522" t="s">
        <v>122</v>
      </c>
      <c r="AG4" s="504"/>
      <c r="AH4" s="504"/>
      <c r="AI4" s="505"/>
      <c r="AJ4" s="517" t="s">
        <v>435</v>
      </c>
      <c r="AK4" s="517"/>
      <c r="AL4" s="517"/>
      <c r="AM4" s="517"/>
      <c r="AN4" s="517"/>
      <c r="AO4" s="517"/>
      <c r="AP4" s="517"/>
      <c r="AQ4" s="517"/>
      <c r="AR4" s="517"/>
      <c r="AS4" s="517"/>
      <c r="AT4" s="517"/>
      <c r="AU4" s="518"/>
      <c r="AV4" s="504" t="s">
        <v>33</v>
      </c>
      <c r="AW4" s="504"/>
      <c r="AX4" s="504"/>
      <c r="AY4" s="504"/>
      <c r="AZ4" s="504"/>
      <c r="BA4" s="504"/>
      <c r="BB4" s="504"/>
      <c r="BC4" s="505"/>
      <c r="BD4" s="516" t="s">
        <v>36</v>
      </c>
      <c r="BE4" s="517"/>
      <c r="BF4" s="517"/>
      <c r="BG4" s="517"/>
      <c r="BH4" s="517"/>
      <c r="BI4" s="517"/>
      <c r="BJ4" s="517"/>
      <c r="BK4" s="518"/>
      <c r="BL4" s="522" t="s">
        <v>248</v>
      </c>
      <c r="BM4" s="504"/>
      <c r="BN4" s="504"/>
      <c r="BO4" s="504"/>
      <c r="BP4" s="504"/>
      <c r="BQ4" s="504"/>
      <c r="BR4" s="504"/>
      <c r="BS4" s="505"/>
      <c r="BT4" s="516" t="s">
        <v>40</v>
      </c>
      <c r="BU4" s="517"/>
      <c r="BV4" s="517"/>
      <c r="BW4" s="517"/>
      <c r="BX4" s="517"/>
      <c r="BY4" s="517"/>
      <c r="BZ4" s="517"/>
      <c r="CA4" s="518"/>
      <c r="CB4" s="504" t="s">
        <v>42</v>
      </c>
      <c r="CC4" s="504"/>
      <c r="CD4" s="504"/>
      <c r="CE4" s="504"/>
      <c r="CF4" s="504"/>
      <c r="CG4" s="504"/>
      <c r="CH4" s="504"/>
      <c r="CI4" s="505"/>
      <c r="CJ4" s="336"/>
    </row>
    <row r="5" spans="1:88" s="171" customFormat="1" ht="30">
      <c r="A5" s="490" t="s">
        <v>420</v>
      </c>
      <c r="B5" s="491"/>
      <c r="C5" s="273" t="s">
        <v>390</v>
      </c>
      <c r="D5" s="529" t="s">
        <v>422</v>
      </c>
      <c r="E5" s="530"/>
      <c r="F5" s="530"/>
      <c r="G5" s="530"/>
      <c r="H5" s="530"/>
      <c r="I5" s="531"/>
      <c r="J5" s="249" t="s">
        <v>423</v>
      </c>
      <c r="K5" s="249" t="s">
        <v>424</v>
      </c>
      <c r="L5" s="533"/>
      <c r="M5" s="536"/>
      <c r="N5" s="537"/>
      <c r="O5" s="533"/>
      <c r="P5" s="536" t="s">
        <v>502</v>
      </c>
      <c r="Q5" s="530"/>
      <c r="R5" s="530"/>
      <c r="S5" s="530"/>
      <c r="T5" s="544"/>
      <c r="U5" s="515"/>
      <c r="V5" s="511" t="s">
        <v>502</v>
      </c>
      <c r="W5" s="512"/>
      <c r="X5" s="512"/>
      <c r="Y5" s="512"/>
      <c r="Z5" s="513"/>
      <c r="AA5" s="546" t="s">
        <v>511</v>
      </c>
      <c r="AB5" s="547"/>
      <c r="AC5" s="247" t="s">
        <v>512</v>
      </c>
      <c r="AD5" s="546" t="s">
        <v>511</v>
      </c>
      <c r="AE5" s="549"/>
      <c r="AF5" s="524" t="s">
        <v>430</v>
      </c>
      <c r="AG5" s="525"/>
      <c r="AH5" s="525"/>
      <c r="AI5" s="526"/>
      <c r="AJ5" s="527" t="s">
        <v>434</v>
      </c>
      <c r="AK5" s="527"/>
      <c r="AL5" s="527"/>
      <c r="AM5" s="527"/>
      <c r="AN5" s="527"/>
      <c r="AO5" s="527"/>
      <c r="AP5" s="527"/>
      <c r="AQ5" s="527"/>
      <c r="AR5" s="527"/>
      <c r="AS5" s="527"/>
      <c r="AT5" s="527"/>
      <c r="AU5" s="528"/>
      <c r="AV5" s="506" t="s">
        <v>419</v>
      </c>
      <c r="AW5" s="507"/>
      <c r="AX5" s="507"/>
      <c r="AY5" s="507"/>
      <c r="AZ5" s="507"/>
      <c r="BA5" s="507"/>
      <c r="BB5" s="507"/>
      <c r="BC5" s="508"/>
      <c r="BD5" s="519" t="s">
        <v>456</v>
      </c>
      <c r="BE5" s="520"/>
      <c r="BF5" s="520"/>
      <c r="BG5" s="520"/>
      <c r="BH5" s="520"/>
      <c r="BI5" s="520"/>
      <c r="BJ5" s="520"/>
      <c r="BK5" s="521"/>
      <c r="BL5" s="523" t="s">
        <v>457</v>
      </c>
      <c r="BM5" s="507"/>
      <c r="BN5" s="507"/>
      <c r="BO5" s="507"/>
      <c r="BP5" s="507"/>
      <c r="BQ5" s="507"/>
      <c r="BR5" s="507"/>
      <c r="BS5" s="508"/>
      <c r="BT5" s="519" t="s">
        <v>459</v>
      </c>
      <c r="BU5" s="520"/>
      <c r="BV5" s="520"/>
      <c r="BW5" s="520"/>
      <c r="BX5" s="520"/>
      <c r="BY5" s="520"/>
      <c r="BZ5" s="520"/>
      <c r="CA5" s="521"/>
      <c r="CB5" s="506" t="s">
        <v>458</v>
      </c>
      <c r="CC5" s="507"/>
      <c r="CD5" s="507"/>
      <c r="CE5" s="507"/>
      <c r="CF5" s="507"/>
      <c r="CG5" s="507"/>
      <c r="CH5" s="507"/>
      <c r="CI5" s="508"/>
      <c r="CJ5" s="336"/>
    </row>
    <row r="6" spans="1:88" s="143" customFormat="1">
      <c r="A6" s="143" t="s">
        <v>102</v>
      </c>
      <c r="B6" s="143" t="s">
        <v>350</v>
      </c>
      <c r="C6" s="265" t="s">
        <v>107</v>
      </c>
      <c r="D6" s="143" t="s">
        <v>33</v>
      </c>
      <c r="E6" s="143" t="s">
        <v>42</v>
      </c>
      <c r="F6" s="143" t="s">
        <v>248</v>
      </c>
      <c r="G6" s="143" t="s">
        <v>40</v>
      </c>
      <c r="H6" s="143" t="s">
        <v>36</v>
      </c>
      <c r="I6" s="143" t="s">
        <v>372</v>
      </c>
      <c r="J6" s="143" t="s">
        <v>28</v>
      </c>
      <c r="K6" s="143" t="s">
        <v>30</v>
      </c>
      <c r="L6" s="143" t="s">
        <v>371</v>
      </c>
      <c r="M6" s="143" t="s">
        <v>373</v>
      </c>
      <c r="N6" s="143" t="s">
        <v>374</v>
      </c>
      <c r="O6" s="143" t="s">
        <v>498</v>
      </c>
      <c r="P6" s="179" t="s">
        <v>488</v>
      </c>
      <c r="Q6" s="179" t="s">
        <v>489</v>
      </c>
      <c r="R6" s="179" t="s">
        <v>490</v>
      </c>
      <c r="S6" s="179" t="s">
        <v>491</v>
      </c>
      <c r="T6" s="265" t="s">
        <v>492</v>
      </c>
      <c r="U6" s="143" t="s">
        <v>499</v>
      </c>
      <c r="V6" s="143" t="s">
        <v>493</v>
      </c>
      <c r="W6" s="143" t="s">
        <v>494</v>
      </c>
      <c r="X6" s="143" t="s">
        <v>495</v>
      </c>
      <c r="Y6" s="143" t="s">
        <v>496</v>
      </c>
      <c r="Z6" s="143" t="s">
        <v>497</v>
      </c>
      <c r="AA6" s="143" t="s">
        <v>425</v>
      </c>
      <c r="AB6" s="143" t="s">
        <v>426</v>
      </c>
      <c r="AC6" s="143" t="s">
        <v>450</v>
      </c>
      <c r="AD6" s="179" t="s">
        <v>427</v>
      </c>
      <c r="AE6" s="265" t="s">
        <v>428</v>
      </c>
      <c r="AF6" s="268" t="s">
        <v>432</v>
      </c>
      <c r="AG6" s="179" t="s">
        <v>433</v>
      </c>
      <c r="AH6" s="179" t="s">
        <v>431</v>
      </c>
      <c r="AI6" s="265" t="s">
        <v>444</v>
      </c>
      <c r="AJ6" s="143" t="s">
        <v>436</v>
      </c>
      <c r="AK6" s="143" t="s">
        <v>437</v>
      </c>
      <c r="AL6" s="143" t="s">
        <v>438</v>
      </c>
      <c r="AM6" s="143" t="s">
        <v>439</v>
      </c>
      <c r="AN6" s="143" t="s">
        <v>440</v>
      </c>
      <c r="AO6" s="143" t="s">
        <v>503</v>
      </c>
      <c r="AP6" s="143" t="s">
        <v>441</v>
      </c>
      <c r="AQ6" s="143" t="s">
        <v>442</v>
      </c>
      <c r="AR6" s="143" t="s">
        <v>443</v>
      </c>
      <c r="AS6" s="143" t="s">
        <v>446</v>
      </c>
      <c r="AT6" s="143" t="s">
        <v>447</v>
      </c>
      <c r="AU6" s="275" t="s">
        <v>448</v>
      </c>
      <c r="AV6" s="143" t="s">
        <v>408</v>
      </c>
      <c r="AW6" s="143" t="s">
        <v>409</v>
      </c>
      <c r="AX6" s="143" t="s">
        <v>411</v>
      </c>
      <c r="AY6" s="303" t="s">
        <v>412</v>
      </c>
      <c r="AZ6" s="143" t="s">
        <v>407</v>
      </c>
      <c r="BA6" s="143" t="s">
        <v>410</v>
      </c>
      <c r="BB6" s="143" t="s">
        <v>413</v>
      </c>
      <c r="BC6" s="275" t="s">
        <v>504</v>
      </c>
      <c r="BD6" s="143" t="s">
        <v>460</v>
      </c>
      <c r="BE6" s="143" t="s">
        <v>461</v>
      </c>
      <c r="BF6" s="143" t="s">
        <v>462</v>
      </c>
      <c r="BG6" s="303" t="s">
        <v>463</v>
      </c>
      <c r="BH6" s="143" t="s">
        <v>464</v>
      </c>
      <c r="BI6" s="143" t="s">
        <v>465</v>
      </c>
      <c r="BJ6" s="143" t="s">
        <v>466</v>
      </c>
      <c r="BK6" s="143" t="s">
        <v>505</v>
      </c>
      <c r="BL6" s="143" t="s">
        <v>467</v>
      </c>
      <c r="BM6" s="143" t="s">
        <v>468</v>
      </c>
      <c r="BN6" s="143" t="s">
        <v>469</v>
      </c>
      <c r="BO6" s="303" t="s">
        <v>470</v>
      </c>
      <c r="BP6" s="143" t="s">
        <v>471</v>
      </c>
      <c r="BQ6" s="143" t="s">
        <v>472</v>
      </c>
      <c r="BR6" s="143" t="s">
        <v>473</v>
      </c>
      <c r="BS6" s="143" t="s">
        <v>506</v>
      </c>
      <c r="BT6" s="143" t="s">
        <v>474</v>
      </c>
      <c r="BU6" s="143" t="s">
        <v>475</v>
      </c>
      <c r="BV6" s="143" t="s">
        <v>476</v>
      </c>
      <c r="BW6" s="303" t="s">
        <v>477</v>
      </c>
      <c r="BX6" s="143" t="s">
        <v>478</v>
      </c>
      <c r="BY6" s="143" t="s">
        <v>479</v>
      </c>
      <c r="BZ6" s="143" t="s">
        <v>480</v>
      </c>
      <c r="CA6" s="143" t="s">
        <v>507</v>
      </c>
      <c r="CB6" s="179" t="s">
        <v>481</v>
      </c>
      <c r="CC6" s="179" t="s">
        <v>482</v>
      </c>
      <c r="CD6" s="179" t="s">
        <v>483</v>
      </c>
      <c r="CE6" s="267" t="s">
        <v>484</v>
      </c>
      <c r="CF6" s="179" t="s">
        <v>485</v>
      </c>
      <c r="CG6" s="179" t="s">
        <v>486</v>
      </c>
      <c r="CH6" s="179" t="s">
        <v>487</v>
      </c>
      <c r="CI6" s="265" t="s">
        <v>508</v>
      </c>
      <c r="CJ6" s="312"/>
    </row>
    <row r="7" spans="1:88">
      <c r="A7" s="250">
        <v>0</v>
      </c>
      <c r="B7" s="250">
        <f>Input_Etableringsår+Tidstabel[[#This Row],[År]]</f>
        <v>2024</v>
      </c>
      <c r="C7" s="314" cm="1">
        <f t="array" ref="C7">_xlfn.IFS(Tidstabel[[#This Row],[År]]&gt;KR_Trin3_Tærskel,KR_Trin3_Rente,Tidstabel[[#This Row],[År]]&gt;KR_Trin2_Tærskel,KR_Trin2_Rente,Tidstabel[[#This Row],[År]]&gt;KR_Trin1_Tærskel,KR_Trin1_Rente,Tidstabel[[#This Row],[År]]&gt;KR_Trin0_Tærskel,KR_Trin0_Rente)</f>
        <v>0</v>
      </c>
      <c r="D7" s="142" t="str" cm="1">
        <f t="array" ref="D7">IFERROR(
INDEX(Range_Materiale_ÅrligeEmissioner,MATCH(1,(Materialedata[Komponent]=FB_Titel)*(Materialedata[Materiale]=FB_Materiale),0),MATCH(Tidstabel[[#This Row],[År]],Range_Materiale_År,0)),BlankTegn)</f>
        <v>.</v>
      </c>
      <c r="E7" s="142" t="str" cm="1">
        <f t="array" ref="E7">IFERROR(
INDEX(Range_Materiale_ÅrligeEmissioner,MATCH(1,(Materialedata[Komponent]=SK_Titel)*(Materialedata[Materiale]=SK_Materiale),0),MATCH(Tidstabel[[#This Row],[År]],Range_Materiale_År,0)),BlankTegn)</f>
        <v>.</v>
      </c>
      <c r="F7" s="142" t="str" cm="1">
        <f t="array" ref="F7">IFERROR(
INDEX(Range_Materiale_ÅrligeEmissioner,MATCH(1,(Materialedata[Komponent]=EI_Titel)*(Materialedata[Materiale]=EI_Materiale),0),MATCH(Tidstabel[[#This Row],[År]],Range_Materiale_År,0)),BlankTegn)</f>
        <v>.</v>
      </c>
      <c r="G7" s="142" t="str" cm="1">
        <f t="array" ref="G7">IFERROR(
INDEX(Range_Materiale_ÅrligeEmissioner,MATCH(1,(Materialedata[Komponent]=AP_Titel)*(Materialedata[Materiale]=AP_Materiale),0),MATCH(Tidstabel[[#This Row],[År]],Range_Materiale_År,0)),BlankTegn)</f>
        <v>.</v>
      </c>
      <c r="H7" s="142" t="str" cm="1">
        <f t="array" ref="H7">IFERROR(
INDEX(Range_Materiale_ÅrligeEmissioner,MATCH(1,(Materialedata[Komponent]=VS_Titel)*(Materialedata[Materiale]=VS_Materiale),0),MATCH(Tidstabel[[#This Row],[År]],Range_Materiale_År,0)),BlankTegn)</f>
        <v>.</v>
      </c>
      <c r="I7" s="142" t="str">
        <f>IFERROR(
IF(SUM(Tidstabel[[#This Row],[Facadebeklædning]:[Vindspærre]])=0,BlankTegn,
SUM(Tidstabel[[#This Row],[Facadebeklædning]:[Vindspærre]])),BlankTegn)</f>
        <v>.</v>
      </c>
      <c r="J7" s="139">
        <f>IF(Tidstabel[[#This Row],[År]]&gt;Input_Tidshorisont,BlankTegn,
A5_ElVarmeBrændstofByggeplads)</f>
        <v>0.25</v>
      </c>
      <c r="K7" s="142" t="str">
        <f>IFERROR(IF(Tidstabel[[#This Row],[År]]&gt;Input_Tidshorisont,BlankTegn,
-1*INDEX(Range_Energi_ÅrligBesparelse,MATCH(Input_EksisterendeFacade,Energiberegning[Ydervæg],0),MATCH(Tidstabel[[#This Row],[Årstal]],Range_Energi_Årstal,0))),BlankTegn)</f>
        <v>.</v>
      </c>
      <c r="L7" s="173">
        <f>IF(Tidstabel[[#This Row],[År]]&gt;Input_Tidshorisont,BlankTegn,
(Tidstabel[[#This Row],[År]]+1)*(SUM(Vedligeholdelsesmaterialer[Facadefarve],Vedligeholdelsesmaterialer[Grunder og mellemmaling])/12+SUM(Vedligeholdelsesmaterialer[Puds])/30))</f>
        <v>0.32485428583333331</v>
      </c>
      <c r="M7" s="142" t="str">
        <f>IFERROR(IF(Tidstabel[[#This Row],[År]]&gt;Input_Tidshorisont,BlankTegn,
Tidstabel[[#This Row],[Materialer_Total]]+Tidstabel[[#This Row],[Byggeprocess]]),BlankTegn)</f>
        <v>.</v>
      </c>
      <c r="N7" s="174" t="str">
        <f>IFERROR(IF(Tidstabel[[#This Row],[År]]&gt;Input_Tidshorisont,BlankTegn,
Tidstabel[[#This Row],[Energibesparelse]]+Tidstabel[[#This Row],[Emission_Brutto]]),BlankTegn)</f>
        <v>.</v>
      </c>
      <c r="O7" s="142" t="str">
        <f>IFERROR(IF(Tidstabel[[#This Row],[År]]&gt;Input_Tidshorisont,BlankTegn,
Tidstabel[[#This Row],[Emission_Netto]]-Tidstabel[[#This Row],[Vedligehold_EksisterendeFacade]]),BlankTegn)</f>
        <v>.</v>
      </c>
      <c r="P7" s="271" t="str">
        <f>IFERROR(IF(Tidstabel[[#This Row],[År]]&gt;Input_Tidshorisont,BlankTegn,
IF(AND(Tidstabel[[#This Row],[Emission_Netto]]-Tidstabel[[#This Row],[Vedligehold_EksisterendeFacade]]&gt;0,N8-L8&lt;0),-1,IF(AND(Tidstabel[[#This Row],[Emission_Netto]]-Tidstabel[[#This Row],[Vedligehold_EksisterendeFacade]]&lt;0,N8-L8&gt;0),1,0))),BlankTegn)</f>
        <v>.</v>
      </c>
      <c r="Q7" s="174" t="str">
        <f>IF(Tidstabel[[#This Row],[År]]&gt;Input_Tidshorisont,BlankTegn,
IF(Tidstabel[[#This Row],[LCA-Skæring]]=-1,SUM(Tidstabel[[#This Row],[År]]*(1-ABS(Tidstabel[[#This Row],[LCA-Difference]])/(ABS(Tidstabel[[#This Row],[LCA-Difference]])+ABS(O8))),A8*(1-ABS(O8)/(ABS(Tidstabel[[#This Row],[LCA-Difference]])+ABS(O8)))),"-"))</f>
        <v>-</v>
      </c>
      <c r="R7" s="174" t="str">
        <f>IF(Tidstabel[[#This Row],[År]]&gt;Input_Tidshorisont,BlankTegn,
IF(Tidstabel[[#This Row],[LCA-Skæring]]=-1,SUM(Tidstabel[[#This Row],[Emission_Netto]]*(1-ABS(Tidstabel[[#This Row],[LCA-Difference]])/(ABS(Tidstabel[[#This Row],[LCA-Difference]])+ABS(O8))),N8*(1-ABS(O8)/(ABS(Tidstabel[[#This Row],[LCA-Difference]])+ABS(O8)))),"-"))</f>
        <v>-</v>
      </c>
      <c r="S7" s="174" t="str">
        <f>IF(Tidstabel[[#This Row],[År]]&gt;Input_Tidshorisont,BlankTegn,
IF(Tidstabel[[#This Row],[LCA-Skæring]]=1,SUM(Tidstabel[[#This Row],[År]]*(1-ABS(Tidstabel[[#This Row],[LCA-Difference]])/(ABS(Tidstabel[[#This Row],[LCA-Difference]])+ABS(O8))),A8*(1-ABS(O8)/(ABS(Tidstabel[[#This Row],[LCA-Difference]])+ABS(O8)))),"-"))</f>
        <v>-</v>
      </c>
      <c r="T7" s="264" t="str">
        <f>IF(Tidstabel[[#This Row],[År]]&gt;Input_Tidshorisont,BlankTegn,
IF(Tidstabel[[#This Row],[LCA-Skæring]]=1,SUM(Tidstabel[[#This Row],[Emission_Netto]]*(1-ABS(Tidstabel[[#This Row],[LCA-Difference]])/(ABS(Tidstabel[[#This Row],[LCA-Difference]])+ABS(O8))),N8*(1-ABS(O8)/(ABS(Tidstabel[[#This Row],[LCA-Difference]])+ABS(O8)))),"-"))</f>
        <v>-</v>
      </c>
      <c r="U7" s="142" t="str">
        <f ca="1">IFERROR(IF(Tidstabel[[#This Row],[År]]&gt;Input_Tidshorisont,BlankTegn,
Tidstabel[[#This Row],[NPV_Klimafacade]]-Tidstabel[[#This Row],[NPV_Eksisterende]]),BlankTegn)</f>
        <v>.</v>
      </c>
      <c r="V7" s="271" t="str">
        <f ca="1">IFERROR(IF(Tidstabel[[#This Row],[År]]&gt;Input_Tidshorisont,BlankTegn,
IF(AND(Tidstabel[[#This Row],[NPV_Klimafacade]]-Tidstabel[[#This Row],[NPV_Eksisterende]]&gt;0,AB8-AA8&lt;0),1,IF(AND(Tidstabel[[#This Row],[NPV_Klimafacade]]-Tidstabel[[#This Row],[NPV_Eksisterende]]&lt;0,AB8-AA8&gt;0),-1,0))),BlankTegn)</f>
        <v>.</v>
      </c>
      <c r="W7" s="174" t="str">
        <f ca="1">IF(Tidstabel[[#This Row],[År]]&gt;Input_Tidshorisont,BlankTegn,
IF(Tidstabel[[#This Row],[LCC-Skæring]]=-1,SUM(Tidstabel[[#This Row],[År]]*(1-ABS(Tidstabel[[#This Row],[LCC-Difference]])/(ABS(Tidstabel[[#This Row],[LCC-Difference]])+ABS(U8))),A8*(1-ABS(U8)/(ABS(Tidstabel[[#This Row],[LCC-Difference]])+ABS(U8)))),"-"))</f>
        <v>-</v>
      </c>
      <c r="X7" s="174" t="str">
        <f ca="1">IF(Tidstabel[[#This Row],[År]]&gt;Input_Tidshorisont,BlankTegn,
IF(Tidstabel[[#This Row],[LCC-Skæring]]=-1,SUM(Tidstabel[[#This Row],[NPV_Klimafacade]]*(1-ABS(Tidstabel[[#This Row],[LCC-Difference]])/(ABS(Tidstabel[[#This Row],[LCC-Difference]])+ABS(U8))),AB8*(1-ABS(U8)/(ABS(Tidstabel[[#This Row],[LCC-Difference]])+ABS(U8)))),"-"))</f>
        <v>-</v>
      </c>
      <c r="Y7" s="174" t="str">
        <f ca="1">IF(Tidstabel[[#This Row],[År]]&gt;Input_Tidshorisont,BlankTegn,
IF(Tidstabel[[#This Row],[LCC-Skæring]]=1,SUM(Tidstabel[[#This Row],[År]]*(1-ABS(Tidstabel[[#This Row],[LCC-Difference]])/(ABS(Tidstabel[[#This Row],[LCC-Difference]])+ABS(U8))),A8*(1-ABS(U8)/(ABS(Tidstabel[[#This Row],[LCC-Difference]])+ABS(U8)))),"-"))</f>
        <v>-</v>
      </c>
      <c r="Z7" s="264" t="str">
        <f ca="1">IF(Tidstabel[[#This Row],[År]]&gt;Input_Tidshorisont,BlankTegn,
IF(Tidstabel[[#This Row],[LCC-Skæring]]=1,SUM(Tidstabel[[#This Row],[NPV_Klimafacade]]*(1-ABS(Tidstabel[[#This Row],[LCC-Difference]])/(ABS(Tidstabel[[#This Row],[LCC-Difference]])+ABS(U8))),AB8*(1-ABS(U8)/(ABS(Tidstabel[[#This Row],[LCC-Difference]])+ABS(U8)))),"-"))</f>
        <v>-</v>
      </c>
      <c r="AA7" s="142">
        <f ca="1">IF(Tidstabel[[#This Row],[År]]&gt;Input_Tidshorisont,BlankTegn,
Tidstabel[[#This Row],[EF_Vedligehold_Aggregeret]])</f>
        <v>-10.648283486700464</v>
      </c>
      <c r="AB7"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 s="142" t="str">
        <f>IFERROR(IF(Tidstabel[[#This Row],[År]]&gt;Input_Tidshorisont,BlankTegn,
Tidstabel[[#This Row],[KF_Anskaffelse_Aggregeret]]+Tidstabel[[#This Row],[KF_Engangsudgifter_Aggregeret]]),BlankTegn)</f>
        <v>.</v>
      </c>
      <c r="AD7" s="174">
        <f>IFERROR(IF(Tidstabel[[#This Row],[År]]&gt;Input_Tidshorisont,BlankTegn,
IF(Tidstabel[[#This Row],[År]]=0,0,Tidstabel[[#This Row],[NPV_Eksisterende]]*(Tidstabel[[#This Row],[Kalkulationsrente]]/(1-(1+Tidstabel[[#This Row],[Kalkulationsrente]])^-Tidstabel[[#This Row],[År]])))),BlankTegn)</f>
        <v>0</v>
      </c>
      <c r="AE7" s="264">
        <f>IFERROR(IF(Tidstabel[[#This Row],[År]]&gt;Input_Tidshorisont,BlankTegn,
IF(Tidstabel[[#This Row],[År]]=0,0,Tidstabel[[#This Row],[NPV_Klimafacade]]*(Tidstabel[[#This Row],[Kalkulationsrente]]/(1-(1+Tidstabel[[#This Row],[Kalkulationsrente]])^-Tidstabel[[#This Row],[År]])))),BlankTegn)</f>
        <v>0</v>
      </c>
      <c r="AF7" s="269">
        <f ca="1">IF(Tidstabel[[#This Row],[År]]&gt;Input_Tidshorisont,BlankTegn,
IF(EF_Vedligehold_i=1,IF(Tidstabel[[#This Row],[EF_Uds?]]=0,1,0),IF(MAX(AF6:OFFSET(AG6,2-EF_Vedligehold_i,0),Tidstabel[[#This Row],[EF_Uds?]])=0,1,0)))</f>
        <v>1</v>
      </c>
      <c r="AG7" s="266">
        <f>IF(Tidstabel[[#This Row],[År]]&gt;Input_Tidshorisont,BlankTegn,0)</f>
        <v>0</v>
      </c>
      <c r="AH7" s="263">
        <f ca="1">IF(Tidstabel[[#This Row],[År]]&gt;Input_Tidshorisont,BlankTegn,
Tidstabel[[#This Row],[EF_Ved?]]*EF_Vedligehold_p*-EF_Enhedspris*((1+Tidstabel[[#This Row],[Kalkulationsrente]])^-Tidstabel[[#This Row],[År]])*((1+PrisudviklingGenerelt)^Tidstabel[[#This Row],[År]]))</f>
        <v>-10.648283486700464</v>
      </c>
      <c r="AI7" s="262">
        <f ca="1">IF(Tidstabel[[#This Row],[År]]&gt;Input_Tidshorisont,BlankTegn,
IF(Tidstabel[[#This Row],[År]]=0,Tidstabel[[#This Row],[EF_Vedligehold]],AI6+Tidstabel[[#This Row],[EF_Vedligehold]]))</f>
        <v>-10.648283486700464</v>
      </c>
      <c r="AJ7" s="246" t="str">
        <f>IFERROR(IF(Tidstabel[[#This Row],[År]]&gt;Input_Tidshorisont,BlankTegn,
Tidstabel[[#This Row],[FB_Anskaffelse]]+Tidstabel[[#This Row],[VS_Anskaffelse]]+Tidstabel[[#This Row],[EI_Anskaffelse]]+Tidstabel[[#This Row],[AP_Anskaffelse]]+Tidstabel[[#This Row],[SK_Anskaffelse]]),BlankTegn)</f>
        <v>.</v>
      </c>
      <c r="AK7" s="245" t="str">
        <f>IFERROR(IF(Tidstabel[[#This Row],[År]]&gt;Input_Tidshorisont,BlankTegn,
IF(Tidstabel[[#This Row],[År]]=0,Tidstabel[[#This Row],[KF_Anskaffelse]],AK6+Tidstabel[[#This Row],[KF_Anskaffelse]])),BlankTegn)</f>
        <v>.</v>
      </c>
      <c r="AL7" s="246" t="str">
        <f ca="1">IFERROR(IF(Tidstabel[[#This Row],[År]]&gt;Input_Tidshorisont,BlankTegn,
Tidstabel[[#This Row],[FB_Vedligehold]]+Tidstabel[[#This Row],[VS_Vedligehold]]+Tidstabel[[#This Row],[EI_Vedligehold]]+Tidstabel[[#This Row],[AP_Vedligehold]]+Tidstabel[[#This Row],[SK_Vedligehold]]),BlankTegn)</f>
        <v>.</v>
      </c>
      <c r="AM7" s="245" t="str">
        <f ca="1">IFERROR(IF(Tidstabel[[#This Row],[År]]&gt;Input_Tidshorisont,BlankTegn,
IF(Tidstabel[[#This Row],[År]]=0,Tidstabel[[#This Row],[KF_Vedligehold]],AM6+Tidstabel[[#This Row],[KF_Vedligehold]])),BlankTegn)</f>
        <v>.</v>
      </c>
      <c r="AN7"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7" s="245">
        <f>IFERROR(IF(Tidstabel[[#This Row],[År]]&gt;Input_Tidshorisont,BlankTegn,
Tidstabel[[#This Row],[FB_Udskiftning_Komponent]]+Tidstabel[[#This Row],[VS_Udskiftning_Komponent]]+Tidstabel[[#This Row],[EI_Udskiftning_Komponent]]+Tidstabel[[#This Row],[AP_Udskiftning_Komponent]]+Tidstabel[[#This Row],[SK_Udskiftning_Komponent]]),BlankTegn)</f>
        <v>0</v>
      </c>
      <c r="AP7" s="245">
        <f>IFERROR(IF(Tidstabel[[#This Row],[År]]&gt;Input_Tidshorisont,BlankTegn,
IF(Tidstabel[[#This Row],[År]]=0,Tidstabel[[#This Row],[KF_Udskiftning_Komponent]],AP6+Tidstabel[[#This Row],[KF_Udskiftning_Komponent]])),BlankTegn)</f>
        <v>0</v>
      </c>
      <c r="AQ7" s="245">
        <f>IF(Tidstabel[[#This Row],[År]]&gt;Input_Tidshorisont,BlankTegn,
IF(Tidstabel[[#This Row],[År]]=0,-SUM(Engangsudgifter[Udgift]),0))</f>
        <v>0</v>
      </c>
      <c r="AR7" s="245">
        <f>IFERROR(IF(Tidstabel[[#This Row],[År]]&gt;Input_Tidshorisont,BlankTegn,
IF(Tidstabel[[#This Row],[År]]=0,Tidstabel[[#This Row],[KF_Engangsudgifter]],AR6+Tidstabel[[#This Row],[KF_Engangsudgifter]])),BlankTegn)</f>
        <v>0</v>
      </c>
      <c r="AS7" s="315" t="str">
        <f>IFERROR(IF(Tidstabel[[#This Row],[År]]&gt;Input_Tidshorisont,BlankTegn,
-Energibesparelse_Årlig),BlankTegn)</f>
        <v>.</v>
      </c>
      <c r="AT7" s="245">
        <f>IFERROR(IF(Tidstabel[[#This Row],[År]]&gt;Input_Tidshorisont,BlankTegn,
IF(Tidstabel[[#This Row],[År]]=0,0,-Tidstabel[[#This Row],[KF_Energiforbrug]]*Input_Fjernvarmepris*((1+Tidstabel[[#This Row],[Kalkulationsrente]])^-Tidstabel[[#This Row],[År]])*((1+PrisudviklingFjernvarme)^Tidstabel[[#This Row],[År]]))),BlankTegn)</f>
        <v>0</v>
      </c>
      <c r="AU7" s="262">
        <f>IFERROR(IF(Tidstabel[[#This Row],[År]]&gt;Input_Tidshorisont,BlankTegn,
IF(Tidstabel[[#This Row],[År]]=0,Tidstabel[[#This Row],[KF_Forsyning]],AU6+Tidstabel[[#This Row],[KF_Forsyning]])),BlankTegn)</f>
        <v>0</v>
      </c>
      <c r="AV7" s="245" t="str">
        <f>IFERROR(IF(Tidstabel[[#This Row],[År]]&gt;Input_Tidshorisont,BlankTegn,
IF(Tidstabel[[#This Row],[År]]=0,-FB_Enhedspris,0)),BlankTegn)</f>
        <v>.</v>
      </c>
      <c r="AW7" s="245" t="str">
        <f>IFERROR(IF(Tidstabel[[#This Row],[År]]&gt;Input_Tidshorisont,BlankTegn,
IF(Tidstabel[[#This Row],[År]]=0,FB_Enhedspris/FB_Levetid,AW6*((1+Tidstabel[[#This Row],[Kalkulationsrente]])^-1)*((1+PrisudviklingGenerelt)^1))),BlankTegn)</f>
        <v>.</v>
      </c>
      <c r="AX7" s="232" t="str">
        <f ca="1">IFERROR(IF(Tidstabel[[#This Row],[År]]&gt;Input_Tidshorisont,BlankTegn,
IF(FB_Vedligehold_i=1,IF(Tidstabel[[#This Row],[FB_Uds?]]=0,1,0),IF(MAX(AX6:OFFSET(AY6,2-FB_Vedligehold_i,0),Tidstabel[[#This Row],[FB_Uds?]])=0,1,0))),BlankTegn)</f>
        <v>.</v>
      </c>
      <c r="AY7" s="178">
        <f>IFERROR(IF(Tidstabel[[#This Row],[År]]&gt;Input_Tidshorisont,BlankTegn,
IF(Tidstabel[[#This Row],[År]]=0,1,IF(MOD(Tidstabel[[#This Row],[År]],FB_Levetid)=0,1,IF(Tidstabel[[#This Row],[År]]=Input_Tidshorisont,0,0)))),BlankTegn)</f>
        <v>1</v>
      </c>
      <c r="AZ7" s="245" t="str">
        <f ca="1">IFERROR(IF(Tidstabel[[#This Row],[År]]&gt;Input_Tidshorisont,BlankTegn,
FB_Vedligehold_p*-FB_Enhedspris*Tidstabel[[#This Row],[FB_Ved?]]*((1+Tidstabel[[#This Row],[Kalkulationsrente]])^-Tidstabel[[#This Row],[År]])*((1+PrisudviklingGenerelt)^Tidstabel[[#This Row],[År]])),BlankTegn)</f>
        <v>.</v>
      </c>
      <c r="BA7" s="245" t="str">
        <f>IFERROR(IF(Tidstabel[[#This Row],[År]]&gt;Input_Tidshorisont,BlankTegn,
IF(Tidstabel[[#This Row],[År]]=0,FB_Enhedspris,SUM(BA6:BB6)*((1+Tidstabel[[#This Row],[Kalkulationsrente]])^-1)*((1+PrisudviklingGenerelt)^1)-Tidstabel[[#This Row],[FB_Afskrivning]])),BlankTegn)</f>
        <v>.</v>
      </c>
      <c r="BB7" s="245">
        <f>IFERROR(IF(Tidstabel[[#This Row],[År]]&gt;Input_Tidshorisont,BlankTegn,
IF(Tidstabel[[#This Row],[År]]=0,0,Tidstabel[[#This Row],[FB_Uds?]]*FB_Enhedspris*((1+Tidstabel[[#This Row],[Kalkulationsrente]])^-Tidstabel[[#This Row],[År]])*((1+PrisudviklingGenerelt)^Tidstabel[[#This Row],[År]]))),BlankTegn)</f>
        <v>0</v>
      </c>
      <c r="BC7" s="261">
        <f>IFERROR(IF(Tidstabel[[#This Row],[År]]&gt;Input_Tidshorisont,BlankTegn,
IF(Tidstabel[[#This Row],[År]]=0,0,Tidstabel[[#This Row],[FB_Uds?]]*-FB_Enhedspris*FB_Genoprettelse*((1+Tidstabel[[#This Row],[Kalkulationsrente]])^-Tidstabel[[#This Row],[År]])*((1+PrisudviklingGenerelt)^Tidstabel[[#This Row],[År]]))),BlankTegn)</f>
        <v>0</v>
      </c>
      <c r="BD7" s="245" t="str">
        <f>IFERROR(IF(Tidstabel[[#This Row],[År]]&gt;Input_Tidshorisont,BlankTegn,
IF(Tidstabel[[#This Row],[År]]=0,-VS_Enhedspris,0)),BlankTegn)</f>
        <v>.</v>
      </c>
      <c r="BE7" s="245" t="str">
        <f>IFERROR(IF(Tidstabel[[#This Row],[År]]&gt;Input_Tidshorisont,BlankTegn,
IF(Tidstabel[[#This Row],[År]]=0,VS_Enhedspris/VS_Levetid,BE6*((1+Tidstabel[[#This Row],[Kalkulationsrente]])^-1)*((1+PrisudviklingGenerelt)^1))),BlankTegn)</f>
        <v>.</v>
      </c>
      <c r="BF7" s="232" t="str">
        <f ca="1">IFERROR(IF(Tidstabel[[#This Row],[År]]&gt;Input_Tidshorisont,BlankTegn,
IF(VS_Vedligehold_i=1,IF(Tidstabel[[#This Row],[VS_Uds?]]=0,1,0),IF(MAX(BF6:OFFSET(BG6,2-VS_Vedligehold_i,0),Tidstabel[[#This Row],[VS_Uds?]])=0,1,0))),BlankTegn)</f>
        <v>.</v>
      </c>
      <c r="BG7" s="178">
        <f>IFERROR(IF(Tidstabel[[#This Row],[År]]&gt;Input_Tidshorisont,BlankTegn,
IF(Tidstabel[[#This Row],[År]]=0,1,IF(MOD(Tidstabel[[#This Row],[År]],VS_Levetid)=0,1,IF(Tidstabel[[#This Row],[År]]=Input_Tidshorisont,0,0)))),BlankTegn)</f>
        <v>1</v>
      </c>
      <c r="BH7" s="245" t="str">
        <f ca="1">IFERROR(IF(Tidstabel[[#This Row],[År]]&gt;Input_Tidshorisont,BlankTegn,
VS_Vedligehold_p*-VS_Enhedspris*Tidstabel[[#This Row],[VS_Ved?]]*((1+Tidstabel[[#This Row],[Kalkulationsrente]])^-Tidstabel[[#This Row],[År]])*((1+PrisudviklingGenerelt)^Tidstabel[[#This Row],[År]])),BlankTegn)</f>
        <v>.</v>
      </c>
      <c r="BI7" s="245" t="str">
        <f>IFERROR(IF(Tidstabel[[#This Row],[År]]&gt;Input_Tidshorisont,BlankTegn,
IF(Tidstabel[[#This Row],[År]]=0,VS_Enhedspris,SUM(BI6:BJ6)*((1+Tidstabel[[#This Row],[Kalkulationsrente]])^-1)*((1+PrisudviklingGenerelt)^1)-Tidstabel[[#This Row],[VS_Afskrivning]])),BlankTegn)</f>
        <v>.</v>
      </c>
      <c r="BJ7" s="245">
        <f>IFERROR(IF(Tidstabel[[#This Row],[År]]&gt;Input_Tidshorisont,BlankTegn,
IF(Tidstabel[[#This Row],[År]]=0,0,Tidstabel[[#This Row],[VS_Uds?]]*VS_Enhedspris*((1+Tidstabel[[#This Row],[Kalkulationsrente]])^-Tidstabel[[#This Row],[År]])*((1+PrisudviklingGenerelt)^Tidstabel[[#This Row],[År]]))),BlankTegn)</f>
        <v>0</v>
      </c>
      <c r="BK7" s="261">
        <f>IFERROR(IF(Tidstabel[[#This Row],[År]]&gt;Input_Tidshorisont,BlankTegn,
IF(Tidstabel[[#This Row],[År]]=0,0,Tidstabel[[#This Row],[VS_Uds?]]*-VS_Enhedspris*VS_Genoprettelse*((1+Tidstabel[[#This Row],[Kalkulationsrente]])^-Tidstabel[[#This Row],[År]])*((1+PrisudviklingGenerelt)^Tidstabel[[#This Row],[År]]))),BlankTegn)</f>
        <v>0</v>
      </c>
      <c r="BL7" s="245" t="str">
        <f>IFERROR(IF(Tidstabel[[#This Row],[År]]&gt;Input_Tidshorisont,BlankTegn,
IF(Tidstabel[[#This Row],[År]]=0,-EI_Enhedspris,0)),BlankTegn)</f>
        <v>.</v>
      </c>
      <c r="BM7" s="245" t="str">
        <f>IFERROR(IF(Tidstabel[[#This Row],[År]]&gt;Input_Tidshorisont,BlankTegn,
IF(Tidstabel[[#This Row],[År]]=0,EI_Enhedspris/EI_Levetid,BM6*((1+Tidstabel[[#This Row],[Kalkulationsrente]])^-1)*((1+PrisudviklingGenerelt)^1))),BlankTegn)</f>
        <v>.</v>
      </c>
      <c r="BN7" s="232" t="str">
        <f ca="1">IFERROR(IF(Tidstabel[[#This Row],[År]]&gt;Input_Tidshorisont,BlankTegn,
IF(EI_Vedligehold_i=1,IF(Tidstabel[[#This Row],[EI_Uds?]]=0,1,0),IF(MAX(BN6:OFFSET(BO6,2-EI_Vedligehold_i,0),Tidstabel[[#This Row],[EI_Uds?]])=0,1,0))),BlankTegn)</f>
        <v>.</v>
      </c>
      <c r="BO7" s="178">
        <f>IFERROR(IF(Tidstabel[[#This Row],[År]]&gt;Input_Tidshorisont,BlankTegn,
IF(Tidstabel[[#This Row],[År]]=0,1,IF(MOD(Tidstabel[[#This Row],[År]],EI_Levetid)=0,1,IF(Tidstabel[[#This Row],[År]]=Input_Tidshorisont,0,0)))),BlankTegn)</f>
        <v>1</v>
      </c>
      <c r="BP7" s="245" t="str">
        <f ca="1">IFERROR(IF(Tidstabel[[#This Row],[År]]&gt;Input_Tidshorisont,BlankTegn,
EI_Vedligehold_p*-EI_Enhedspris*Tidstabel[[#This Row],[EI_Ved?]]*((1+Tidstabel[[#This Row],[Kalkulationsrente]])^-Tidstabel[[#This Row],[År]])*((1+PrisudviklingGenerelt)^Tidstabel[[#This Row],[År]])),BlankTegn)</f>
        <v>.</v>
      </c>
      <c r="BQ7" s="245" t="str">
        <f>IFERROR(IF(Tidstabel[[#This Row],[År]]&gt;Input_Tidshorisont,BlankTegn,
IF(Tidstabel[[#This Row],[År]]=0,EI_Enhedspris,SUM(BQ6:BR6)*((1+Tidstabel[[#This Row],[Kalkulationsrente]])^-1)*((1+PrisudviklingGenerelt)^1)-Tidstabel[[#This Row],[EI_Afskrivning]])),BlankTegn)</f>
        <v>.</v>
      </c>
      <c r="BR7" s="245">
        <f>IFERROR(IF(Tidstabel[[#This Row],[År]]&gt;Input_Tidshorisont,BlankTegn,
IF(Tidstabel[[#This Row],[År]]=0,0,Tidstabel[[#This Row],[EI_Uds?]]*EI_Enhedspris*((1+Tidstabel[[#This Row],[Kalkulationsrente]])^-Tidstabel[[#This Row],[År]])*((1+PrisudviklingGenerelt)^Tidstabel[[#This Row],[År]]))),BlankTegn)</f>
        <v>0</v>
      </c>
      <c r="BS7" s="261">
        <f>IFERROR(IF(Tidstabel[[#This Row],[År]]&gt;Input_Tidshorisont,BlankTegn,
IF(Tidstabel[[#This Row],[År]]=0,0,Tidstabel[[#This Row],[EI_Uds?]]*-EI_Enhedspris*EI_Genoprettelse*((1+Tidstabel[[#This Row],[Kalkulationsrente]])^-Tidstabel[[#This Row],[År]])*((1+PrisudviklingGenerelt)^Tidstabel[[#This Row],[År]]))),BlankTegn)</f>
        <v>0</v>
      </c>
      <c r="BT7" s="245" t="str">
        <f>IFERROR(IF(Tidstabel[[#This Row],[År]]&gt;Input_Tidshorisont,BlankTegn,
IF(Tidstabel[[#This Row],[År]]=0,-AP_Enhedspris,0)),BlankTegn)</f>
        <v>.</v>
      </c>
      <c r="BU7" s="245" t="str">
        <f>IFERROR(IF(Tidstabel[[#This Row],[År]]&gt;Input_Tidshorisont,BlankTegn,
IF(Tidstabel[[#This Row],[År]]=0,AP_Enhedspris/AP_Levetid,BU6*((1+Tidstabel[[#This Row],[Kalkulationsrente]])^-1)*((1+PrisudviklingGenerelt)^1))),BlankTegn)</f>
        <v>.</v>
      </c>
      <c r="BV7" s="232" t="str">
        <f ca="1">IFERROR(IF(Tidstabel[[#This Row],[År]]&gt;Input_Tidshorisont,BlankTegn,
IF(AP_Vedligehold_i=1,IF(Tidstabel[[#This Row],[AP_Uds?]]=0,1,0),IF(MAX(BV6:OFFSET(BW6,2-AP_Vedligehold_i,0),Tidstabel[[#This Row],[AP_Uds?]])=0,1,0))),BlankTegn)</f>
        <v>.</v>
      </c>
      <c r="BW7" s="178">
        <f>IFERROR(IF(Tidstabel[[#This Row],[År]]&gt;Input_Tidshorisont,BlankTegn,
IF(Tidstabel[[#This Row],[År]]=0,1,IF(MOD(Tidstabel[[#This Row],[År]],AP_Levetid)=0,1,IF(Tidstabel[[#This Row],[År]]=Input_Tidshorisont,0,0)))),BlankTegn)</f>
        <v>1</v>
      </c>
      <c r="BX7" s="245" t="str">
        <f ca="1">IFERROR(IF(Tidstabel[[#This Row],[År]]&gt;Input_Tidshorisont,BlankTegn,
AP_Vedligehold_p*-AP_Enhedspris*Tidstabel[[#This Row],[AP_Ved?]]*((1+Tidstabel[[#This Row],[Kalkulationsrente]])^-Tidstabel[[#This Row],[År]])*((1+PrisudviklingGenerelt)^Tidstabel[[#This Row],[År]])),BlankTegn)</f>
        <v>.</v>
      </c>
      <c r="BY7" s="245" t="str">
        <f>IFERROR(IF(Tidstabel[[#This Row],[År]]&gt;Input_Tidshorisont,BlankTegn,
IF(Tidstabel[[#This Row],[År]]=0,AP_Enhedspris,SUM(BY6:BZ6)*((1+Tidstabel[[#This Row],[Kalkulationsrente]])^-1)*((1+PrisudviklingGenerelt)^1)-Tidstabel[[#This Row],[AP_Afskrivning]])),BlankTegn)</f>
        <v>.</v>
      </c>
      <c r="BZ7" s="245">
        <f>IFERROR(IF(Tidstabel[[#This Row],[År]]&gt;Input_Tidshorisont,BlankTegn,
IF(Tidstabel[[#This Row],[År]]=0,0,Tidstabel[[#This Row],[AP_Uds?]]*AP_Enhedspris*((1+Tidstabel[[#This Row],[Kalkulationsrente]])^-Tidstabel[[#This Row],[År]])*((1+PrisudviklingGenerelt)^Tidstabel[[#This Row],[År]]))),BlankTegn)</f>
        <v>0</v>
      </c>
      <c r="CA7" s="261">
        <f>IFERROR(IF(Tidstabel[[#This Row],[År]]&gt;Input_Tidshorisont,BlankTegn,
IF(Tidstabel[[#This Row],[År]]=0,0,Tidstabel[[#This Row],[AP_Uds?]]*-AP_Enhedspris*AP_Genoprettelse*((1+Tidstabel[[#This Row],[Kalkulationsrente]])^-Tidstabel[[#This Row],[År]])*((1+PrisudviklingGenerelt)^Tidstabel[[#This Row],[År]]))),BlankTegn)</f>
        <v>0</v>
      </c>
      <c r="CB7" s="245" t="str">
        <f>IFERROR(IF(Tidstabel[[#This Row],[År]]&gt;Input_Tidshorisont,BlankTegn,
IF(Tidstabel[[#This Row],[År]]=0,-SK_Enhedspris,0)),BlankTegn)</f>
        <v>.</v>
      </c>
      <c r="CC7" s="245" t="str">
        <f>IFERROR(IF(Tidstabel[[#This Row],[År]]&gt;Input_Tidshorisont,BlankTegn,
IF(Tidstabel[[#This Row],[År]]=0,SK_Enhedspris/SK_Levetid,CC6*((1+Tidstabel[[#This Row],[Kalkulationsrente]])^-1)*((1+PrisudviklingGenerelt)^1))),BlankTegn)</f>
        <v>.</v>
      </c>
      <c r="CD7" s="232" t="str">
        <f ca="1">IFERROR(IF(Tidstabel[[#This Row],[År]]&gt;Input_Tidshorisont,BlankTegn,
IF(SK_Vedligehold_i=1,IF(Tidstabel[[#This Row],[SK_Uds?]]=0,1,0),IF(MAX(CD6:OFFSET(CE6,2-SK_Vedligehold_i,0),Tidstabel[[#This Row],[SK_Uds?]])=0,1,0))),BlankTegn)</f>
        <v>.</v>
      </c>
      <c r="CE7" s="178">
        <f>IFERROR(IF(Tidstabel[[#This Row],[År]]&gt;Input_Tidshorisont,BlankTegn,
IF(Tidstabel[[#This Row],[År]]=0,1,IF(MOD(Tidstabel[[#This Row],[År]],SK_Levetid)=0,1,IF(Tidstabel[[#This Row],[År]]=Input_Tidshorisont,0,0)))),BlankTegn)</f>
        <v>1</v>
      </c>
      <c r="CF7" s="245" t="str">
        <f ca="1">IFERROR(IF(Tidstabel[[#This Row],[År]]&gt;Input_Tidshorisont,BlankTegn,
SK_Vedligehold_p*-SK_Enhedspris*Tidstabel[[#This Row],[SK_Ved?]]*((1+Tidstabel[[#This Row],[Kalkulationsrente]])^-Tidstabel[[#This Row],[År]])*((1+PrisudviklingGenerelt)^Tidstabel[[#This Row],[År]])),BlankTegn)</f>
        <v>.</v>
      </c>
      <c r="CG7" s="245" t="str">
        <f>IFERROR(IF(Tidstabel[[#This Row],[År]]&gt;Input_Tidshorisont,BlankTegn,
IF(Tidstabel[[#This Row],[År]]=0,SK_Enhedspris,SUM(CG6:CH6)*((1+Tidstabel[[#This Row],[Kalkulationsrente]])^-1)*((1+PrisudviklingGenerelt)^1)-Tidstabel[[#This Row],[SK_Afskrivning]])),BlankTegn)</f>
        <v>.</v>
      </c>
      <c r="CH7" s="245">
        <f>IFERROR(IF(Tidstabel[[#This Row],[År]]&gt;Input_Tidshorisont,BlankTegn,
IF(Tidstabel[[#This Row],[År]]=0,0,Tidstabel[[#This Row],[SK_Uds?]]*SK_Enhedspris*((1+Tidstabel[[#This Row],[Kalkulationsrente]])^-Tidstabel[[#This Row],[År]])*((1+PrisudviklingGenerelt)^Tidstabel[[#This Row],[År]]))),BlankTegn)</f>
        <v>0</v>
      </c>
      <c r="CI7" s="261">
        <f>IFERROR(IF(Tidstabel[[#This Row],[År]]&gt;Input_Tidshorisont,BlankTegn,
IF(Tidstabel[[#This Row],[År]]=0,0,Tidstabel[[#This Row],[SK_Uds?]]*-SK_Enhedspris*SK_Genoprettelse*((1+Tidstabel[[#This Row],[Kalkulationsrente]])^-Tidstabel[[#This Row],[År]])*((1+PrisudviklingGenerelt)^Tidstabel[[#This Row],[År]]))),BlankTegn)</f>
        <v>0</v>
      </c>
      <c r="CJ7" s="19"/>
    </row>
    <row r="8" spans="1:88">
      <c r="A8" s="250">
        <v>1</v>
      </c>
      <c r="B8" s="250">
        <f>Input_Etableringsår+Tidstabel[[#This Row],[År]]</f>
        <v>2025</v>
      </c>
      <c r="C8" s="274" cm="1">
        <f t="array" ref="C8">_xlfn.IFS(Tidstabel[[#This Row],[År]]&gt;KR_Trin3_Tærskel,KR_Trin3_Rente,Tidstabel[[#This Row],[År]]&gt;KR_Trin2_Tærskel,KR_Trin2_Rente,Tidstabel[[#This Row],[År]]&gt;KR_Trin1_Tærskel,KR_Trin1_Rente,Tidstabel[[#This Row],[År]]&gt;KR_Trin0_Tærskel,KR_Trin0_Rente)</f>
        <v>3.5000000000000003E-2</v>
      </c>
      <c r="D8" s="142" t="str" cm="1">
        <f t="array" ref="D8">IFERROR(
INDEX(Range_Materiale_ÅrligeEmissioner,MATCH(1,(Materialedata[Komponent]=FB_Titel)*(Materialedata[Materiale]=FB_Materiale),0),MATCH(Tidstabel[[#This Row],[År]],Range_Materiale_År,0)),BlankTegn)</f>
        <v>.</v>
      </c>
      <c r="E8" s="142" t="str" cm="1">
        <f t="array" ref="E8">IFERROR(
INDEX(Range_Materiale_ÅrligeEmissioner,MATCH(1,(Materialedata[Komponent]=SK_Titel)*(Materialedata[Materiale]=SK_Materiale),0),MATCH(Tidstabel[[#This Row],[År]],Range_Materiale_År,0)),BlankTegn)</f>
        <v>.</v>
      </c>
      <c r="F8" s="142" t="str" cm="1">
        <f t="array" ref="F8">IFERROR(
INDEX(Range_Materiale_ÅrligeEmissioner,MATCH(1,(Materialedata[Komponent]=EI_Titel)*(Materialedata[Materiale]=EI_Materiale),0),MATCH(Tidstabel[[#This Row],[År]],Range_Materiale_År,0)),BlankTegn)</f>
        <v>.</v>
      </c>
      <c r="G8" s="142" t="str" cm="1">
        <f t="array" ref="G8">IFERROR(
INDEX(Range_Materiale_ÅrligeEmissioner,MATCH(1,(Materialedata[Komponent]=AP_Titel)*(Materialedata[Materiale]=AP_Materiale),0),MATCH(Tidstabel[[#This Row],[År]],Range_Materiale_År,0)),BlankTegn)</f>
        <v>.</v>
      </c>
      <c r="H8" s="142" t="str" cm="1">
        <f t="array" ref="H8">IFERROR(
INDEX(Range_Materiale_ÅrligeEmissioner,MATCH(1,(Materialedata[Komponent]=VS_Titel)*(Materialedata[Materiale]=VS_Materiale),0),MATCH(Tidstabel[[#This Row],[År]],Range_Materiale_År,0)),BlankTegn)</f>
        <v>.</v>
      </c>
      <c r="I8" s="142" t="str">
        <f>IFERROR(
IF(SUM(Tidstabel[[#This Row],[Facadebeklædning]:[Vindspærre]])=0,BlankTegn,
SUM(Tidstabel[[#This Row],[Facadebeklædning]:[Vindspærre]])),BlankTegn)</f>
        <v>.</v>
      </c>
      <c r="J8" s="139">
        <f>IF(Tidstabel[[#This Row],[År]]&gt;Input_Tidshorisont,BlankTegn,
A5_ElVarmeBrændstofByggeplads)</f>
        <v>0.25</v>
      </c>
      <c r="K8" s="142" t="str">
        <f>IFERROR(IF(Tidstabel[[#This Row],[År]]&gt;Input_Tidshorisont,BlankTegn,
-1*INDEX(Range_Energi_ÅrligBesparelse,MATCH(Input_EksisterendeFacade,Energiberegning[Ydervæg],0),MATCH(Tidstabel[[#This Row],[Årstal]],Range_Energi_Årstal,0))),BlankTegn)</f>
        <v>.</v>
      </c>
      <c r="L8" s="142">
        <f>IF(Tidstabel[[#This Row],[År]]&gt;Input_Tidshorisont,BlankTegn,
(Tidstabel[[#This Row],[År]]+1)*(SUM(Vedligeholdelsesmaterialer[Facadefarve],Vedligeholdelsesmaterialer[Grunder og mellemmaling])/12+SUM(Vedligeholdelsesmaterialer[Puds])/30))</f>
        <v>0.64970857166666662</v>
      </c>
      <c r="M8" s="142" t="str">
        <f>IFERROR(IF(Tidstabel[[#This Row],[År]]&gt;Input_Tidshorisont,BlankTegn,
Tidstabel[[#This Row],[Materialer_Total]]+Tidstabel[[#This Row],[Byggeprocess]]),BlankTegn)</f>
        <v>.</v>
      </c>
      <c r="N8" s="142" t="str">
        <f>IFERROR(IF(Tidstabel[[#This Row],[År]]&gt;Input_Tidshorisont,BlankTegn,
Tidstabel[[#This Row],[Energibesparelse]]+Tidstabel[[#This Row],[Emission_Brutto]]),BlankTegn)</f>
        <v>.</v>
      </c>
      <c r="O8" s="142" t="str">
        <f>IFERROR(IF(Tidstabel[[#This Row],[År]]&gt;Input_Tidshorisont,BlankTegn,
Tidstabel[[#This Row],[Emission_Netto]]-Tidstabel[[#This Row],[Vedligehold_EksisterendeFacade]]),BlankTegn)</f>
        <v>.</v>
      </c>
      <c r="P8" s="271" t="str">
        <f>IFERROR(IF(Tidstabel[[#This Row],[År]]&gt;Input_Tidshorisont,BlankTegn,
IF(AND(Tidstabel[[#This Row],[Emission_Netto]]-Tidstabel[[#This Row],[Vedligehold_EksisterendeFacade]]&gt;0,N9-L9&lt;0),-1,IF(AND(Tidstabel[[#This Row],[Emission_Netto]]-Tidstabel[[#This Row],[Vedligehold_EksisterendeFacade]]&lt;0,N9-L9&gt;0),1,0))),BlankTegn)</f>
        <v>.</v>
      </c>
      <c r="Q8" s="174" t="str">
        <f>IF(Tidstabel[[#This Row],[År]]&gt;Input_Tidshorisont,BlankTegn,
IF(Tidstabel[[#This Row],[LCA-Skæring]]=-1,SUM(Tidstabel[[#This Row],[År]]*(1-ABS(Tidstabel[[#This Row],[LCA-Difference]])/(ABS(Tidstabel[[#This Row],[LCA-Difference]])+ABS(O9))),A9*(1-ABS(O9)/(ABS(Tidstabel[[#This Row],[LCA-Difference]])+ABS(O9)))),"-"))</f>
        <v>-</v>
      </c>
      <c r="R8" s="174" t="str">
        <f>IF(Tidstabel[[#This Row],[År]]&gt;Input_Tidshorisont,BlankTegn,
IF(Tidstabel[[#This Row],[LCA-Skæring]]=-1,SUM(Tidstabel[[#This Row],[Emission_Netto]]*(1-ABS(Tidstabel[[#This Row],[LCA-Difference]])/(ABS(Tidstabel[[#This Row],[LCA-Difference]])+ABS(O9))),N9*(1-ABS(O9)/(ABS(Tidstabel[[#This Row],[LCA-Difference]])+ABS(O9)))),"-"))</f>
        <v>-</v>
      </c>
      <c r="S8" s="174" t="str">
        <f>IF(Tidstabel[[#This Row],[År]]&gt;Input_Tidshorisont,BlankTegn,
IF(Tidstabel[[#This Row],[LCA-Skæring]]=1,SUM(Tidstabel[[#This Row],[År]]*(1-ABS(Tidstabel[[#This Row],[LCA-Difference]])/(ABS(Tidstabel[[#This Row],[LCA-Difference]])+ABS(O9))),A9*(1-ABS(O9)/(ABS(Tidstabel[[#This Row],[LCA-Difference]])+ABS(O9)))),"-"))</f>
        <v>-</v>
      </c>
      <c r="T8" s="264" t="str">
        <f>IF(Tidstabel[[#This Row],[År]]&gt;Input_Tidshorisont,BlankTegn,
IF(Tidstabel[[#This Row],[LCA-Skæring]]=1,SUM(Tidstabel[[#This Row],[Emission_Netto]]*(1-ABS(Tidstabel[[#This Row],[LCA-Difference]])/(ABS(Tidstabel[[#This Row],[LCA-Difference]])+ABS(O9))),N9*(1-ABS(O9)/(ABS(Tidstabel[[#This Row],[LCA-Difference]])+ABS(O9)))),"-"))</f>
        <v>-</v>
      </c>
      <c r="U8" s="142" t="str">
        <f ca="1">IFERROR(IF(Tidstabel[[#This Row],[År]]&gt;Input_Tidshorisont,BlankTegn,
Tidstabel[[#This Row],[NPV_Klimafacade]]-Tidstabel[[#This Row],[NPV_Eksisterende]]),BlankTegn)</f>
        <v>.</v>
      </c>
      <c r="V8" s="271" t="str">
        <f ca="1">IFERROR(IF(Tidstabel[[#This Row],[År]]&gt;Input_Tidshorisont,BlankTegn,
IF(AND(Tidstabel[[#This Row],[NPV_Klimafacade]]-Tidstabel[[#This Row],[NPV_Eksisterende]]&gt;0,AB9-AA9&lt;0),1,IF(AND(Tidstabel[[#This Row],[NPV_Klimafacade]]-Tidstabel[[#This Row],[NPV_Eksisterende]]&lt;0,AB9-AA9&gt;0),-1,0))),BlankTegn)</f>
        <v>.</v>
      </c>
      <c r="W8" s="174" t="str">
        <f ca="1">IF(Tidstabel[[#This Row],[År]]&gt;Input_Tidshorisont,BlankTegn,
IF(Tidstabel[[#This Row],[LCC-Skæring]]=-1,SUM(Tidstabel[[#This Row],[År]]*(1-ABS(Tidstabel[[#This Row],[LCC-Difference]])/(ABS(Tidstabel[[#This Row],[LCC-Difference]])+ABS(U9))),A9*(1-ABS(U9)/(ABS(Tidstabel[[#This Row],[LCC-Difference]])+ABS(U9)))),"-"))</f>
        <v>-</v>
      </c>
      <c r="X8" s="174" t="str">
        <f ca="1">IF(Tidstabel[[#This Row],[År]]&gt;Input_Tidshorisont,BlankTegn,
IF(Tidstabel[[#This Row],[LCC-Skæring]]=-1,SUM(Tidstabel[[#This Row],[NPV_Klimafacade]]*(1-ABS(Tidstabel[[#This Row],[LCC-Difference]])/(ABS(Tidstabel[[#This Row],[LCC-Difference]])+ABS(U9))),AB9*(1-ABS(U9)/(ABS(Tidstabel[[#This Row],[LCC-Difference]])+ABS(U9)))),"-"))</f>
        <v>-</v>
      </c>
      <c r="Y8" s="174" t="str">
        <f ca="1">IF(Tidstabel[[#This Row],[År]]&gt;Input_Tidshorisont,BlankTegn,
IF(Tidstabel[[#This Row],[LCC-Skæring]]=1,SUM(Tidstabel[[#This Row],[År]]*(1-ABS(Tidstabel[[#This Row],[LCC-Difference]])/(ABS(Tidstabel[[#This Row],[LCC-Difference]])+ABS(U9))),A9*(1-ABS(U9)/(ABS(Tidstabel[[#This Row],[LCC-Difference]])+ABS(U9)))),"-"))</f>
        <v>-</v>
      </c>
      <c r="Z8" s="264" t="str">
        <f ca="1">IF(Tidstabel[[#This Row],[År]]&gt;Input_Tidshorisont,BlankTegn,
IF(Tidstabel[[#This Row],[LCC-Skæring]]=1,SUM(Tidstabel[[#This Row],[NPV_Klimafacade]]*(1-ABS(Tidstabel[[#This Row],[LCC-Difference]])/(ABS(Tidstabel[[#This Row],[LCC-Difference]])+ABS(U9))),AB9*(1-ABS(U9)/(ABS(Tidstabel[[#This Row],[LCC-Difference]])+ABS(U9)))),"-"))</f>
        <v>-</v>
      </c>
      <c r="AA8" s="142">
        <f ca="1">IF(Tidstabel[[#This Row],[År]]&gt;Input_Tidshorisont,BlankTegn,
Tidstabel[[#This Row],[EF_Vedligehold_Aggregeret]])</f>
        <v>-20.936480092208157</v>
      </c>
      <c r="AB8"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8" s="142" t="str">
        <f>IFERROR(IF(Tidstabel[[#This Row],[År]]&gt;Input_Tidshorisont,BlankTegn,
Tidstabel[[#This Row],[KF_Anskaffelse_Aggregeret]]+Tidstabel[[#This Row],[KF_Engangsudgifter_Aggregeret]]),BlankTegn)</f>
        <v>.</v>
      </c>
      <c r="AD8" s="174">
        <f ca="1">IFERROR(IF(Tidstabel[[#This Row],[År]]&gt;Input_Tidshorisont,BlankTegn,
IF(Tidstabel[[#This Row],[År]]=0,0,Tidstabel[[#This Row],[NPV_Eksisterende]]*(Tidstabel[[#This Row],[Kalkulationsrente]]/(1-(1+Tidstabel[[#This Row],[Kalkulationsrente]])^-Tidstabel[[#This Row],[År]])))),BlankTegn)</f>
        <v>-21.669256895435492</v>
      </c>
      <c r="AE8" s="264" t="str">
        <f ca="1">IFERROR(IF(Tidstabel[[#This Row],[År]]&gt;Input_Tidshorisont,BlankTegn,
IF(Tidstabel[[#This Row],[År]]=0,0,Tidstabel[[#This Row],[NPV_Klimafacade]]*(Tidstabel[[#This Row],[Kalkulationsrente]]/(1-(1+Tidstabel[[#This Row],[Kalkulationsrente]])^-Tidstabel[[#This Row],[År]])))),BlankTegn)</f>
        <v>.</v>
      </c>
      <c r="AF8" s="270">
        <f ca="1">IF(Tidstabel[[#This Row],[År]]&gt;Input_Tidshorisont,BlankTegn,
IF(EF_Vedligehold_i=1,IF(Tidstabel[[#This Row],[EF_Uds?]]=0,1,0),IF(MAX(AF7:OFFSET(AG7,2-EF_Vedligehold_i,0),Tidstabel[[#This Row],[EF_Uds?]])=0,1,0)))</f>
        <v>1</v>
      </c>
      <c r="AG8" s="181">
        <f>IF(Tidstabel[[#This Row],[År]]&gt;Input_Tidshorisont,BlankTegn,0)</f>
        <v>0</v>
      </c>
      <c r="AH8" s="263">
        <f ca="1">IF(Tidstabel[[#This Row],[År]]&gt;Input_Tidshorisont,BlankTegn,
Tidstabel[[#This Row],[EF_Ved?]]*EF_Vedligehold_p*-EF_Enhedspris*((1+Tidstabel[[#This Row],[Kalkulationsrente]])^-Tidstabel[[#This Row],[År]])*((1+PrisudviklingGenerelt)^Tidstabel[[#This Row],[År]]))</f>
        <v>-10.288196605507695</v>
      </c>
      <c r="AI8" s="262">
        <f ca="1">IF(Tidstabel[[#This Row],[År]]&gt;Input_Tidshorisont,BlankTegn,
IF(Tidstabel[[#This Row],[År]]=0,Tidstabel[[#This Row],[EF_Vedligehold]],AI7+Tidstabel[[#This Row],[EF_Vedligehold]]))</f>
        <v>-20.936480092208157</v>
      </c>
      <c r="AJ8" s="245">
        <f>IFERROR(IF(Tidstabel[[#This Row],[År]]&gt;Input_Tidshorisont,BlankTegn,
Tidstabel[[#This Row],[FB_Anskaffelse]]+Tidstabel[[#This Row],[VS_Anskaffelse]]+Tidstabel[[#This Row],[EI_Anskaffelse]]+Tidstabel[[#This Row],[AP_Anskaffelse]]+Tidstabel[[#This Row],[SK_Anskaffelse]]),BlankTegn)</f>
        <v>0</v>
      </c>
      <c r="AK8" s="245" t="str">
        <f>IFERROR(IF(Tidstabel[[#This Row],[År]]&gt;Input_Tidshorisont,BlankTegn,
IF(Tidstabel[[#This Row],[År]]=0,Tidstabel[[#This Row],[KF_Anskaffelse]],AK7+Tidstabel[[#This Row],[KF_Anskaffelse]])),BlankTegn)</f>
        <v>.</v>
      </c>
      <c r="AL8" s="246" t="str">
        <f ca="1">IFERROR(IF(Tidstabel[[#This Row],[År]]&gt;Input_Tidshorisont,BlankTegn,
Tidstabel[[#This Row],[FB_Vedligehold]]+Tidstabel[[#This Row],[VS_Vedligehold]]+Tidstabel[[#This Row],[EI_Vedligehold]]+Tidstabel[[#This Row],[AP_Vedligehold]]+Tidstabel[[#This Row],[SK_Vedligehold]]),BlankTegn)</f>
        <v>.</v>
      </c>
      <c r="AM8" s="245" t="str">
        <f ca="1">IFERROR(IF(Tidstabel[[#This Row],[År]]&gt;Input_Tidshorisont,BlankTegn,
IF(Tidstabel[[#This Row],[År]]=0,Tidstabel[[#This Row],[KF_Vedligehold]],AM7+Tidstabel[[#This Row],[KF_Vedligehold]])),BlankTegn)</f>
        <v>.</v>
      </c>
      <c r="AN8"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8"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8" s="245" t="str">
        <f>IFERROR(IF(Tidstabel[[#This Row],[År]]&gt;Input_Tidshorisont,BlankTegn,
IF(Tidstabel[[#This Row],[År]]=0,Tidstabel[[#This Row],[KF_Udskiftning_Komponent]],AP7+Tidstabel[[#This Row],[KF_Udskiftning_Komponent]])),BlankTegn)</f>
        <v>.</v>
      </c>
      <c r="AQ8" s="245">
        <f>IF(Tidstabel[[#This Row],[År]]&gt;Input_Tidshorisont,BlankTegn,
IF(Tidstabel[[#This Row],[År]]=0,-SUM(Engangsudgifter[Udgift]),0))</f>
        <v>0</v>
      </c>
      <c r="AR8" s="245">
        <f>IFERROR(IF(Tidstabel[[#This Row],[År]]&gt;Input_Tidshorisont,BlankTegn,
IF(Tidstabel[[#This Row],[År]]=0,Tidstabel[[#This Row],[KF_Engangsudgifter]],AR7+Tidstabel[[#This Row],[KF_Engangsudgifter]])),BlankTegn)</f>
        <v>0</v>
      </c>
      <c r="AS8" s="315" t="str">
        <f>IFERROR(IF(Tidstabel[[#This Row],[År]]&gt;Input_Tidshorisont,BlankTegn,
-Energibesparelse_Årlig),BlankTegn)</f>
        <v>.</v>
      </c>
      <c r="AT8" s="245" t="str">
        <f>IFERROR(IF(Tidstabel[[#This Row],[År]]&gt;Input_Tidshorisont,BlankTegn,
IF(Tidstabel[[#This Row],[År]]=0,0,-Tidstabel[[#This Row],[KF_Energiforbrug]]*Input_Fjernvarmepris*((1+Tidstabel[[#This Row],[Kalkulationsrente]])^-Tidstabel[[#This Row],[År]])*((1+PrisudviklingFjernvarme)^Tidstabel[[#This Row],[År]]))),BlankTegn)</f>
        <v>.</v>
      </c>
      <c r="AU8" s="262" t="str">
        <f>IFERROR(IF(Tidstabel[[#This Row],[År]]&gt;Input_Tidshorisont,BlankTegn,
IF(Tidstabel[[#This Row],[År]]=0,Tidstabel[[#This Row],[KF_Forsyning]],AU7+Tidstabel[[#This Row],[KF_Forsyning]])),BlankTegn)</f>
        <v>.</v>
      </c>
      <c r="AV8" s="245">
        <f>IFERROR(IF(Tidstabel[[#This Row],[År]]&gt;Input_Tidshorisont,BlankTegn,
IF(Tidstabel[[#This Row],[År]]=0,-FB_Enhedspris,0)),BlankTegn)</f>
        <v>0</v>
      </c>
      <c r="AW8" s="245" t="str">
        <f>IFERROR(IF(Tidstabel[[#This Row],[År]]&gt;Input_Tidshorisont,BlankTegn,
IF(Tidstabel[[#This Row],[År]]=0,FB_Enhedspris/FB_Levetid,AW7*((1+Tidstabel[[#This Row],[Kalkulationsrente]])^-1)*((1+PrisudviklingGenerelt)^1))),BlankTegn)</f>
        <v>.</v>
      </c>
      <c r="AX8" s="178" t="str">
        <f ca="1">IFERROR(IF(Tidstabel[[#This Row],[År]]&gt;Input_Tidshorisont,BlankTegn,
IF(FB_Vedligehold_i=1,IF(Tidstabel[[#This Row],[FB_Uds?]]=0,1,0),IF(MAX(AX7:OFFSET(AY7,2-FB_Vedligehold_i,0),Tidstabel[[#This Row],[FB_Uds?]])=0,1,0))),BlankTegn)</f>
        <v>.</v>
      </c>
      <c r="AY8" s="178" t="str">
        <f>IFERROR(IF(Tidstabel[[#This Row],[År]]&gt;Input_Tidshorisont,BlankTegn,
IF(Tidstabel[[#This Row],[År]]=0,1,IF(MOD(Tidstabel[[#This Row],[År]],FB_Levetid)=0,1,IF(Tidstabel[[#This Row],[År]]=Input_Tidshorisont,0,0)))),BlankTegn)</f>
        <v>.</v>
      </c>
      <c r="AZ8" s="245" t="str">
        <f ca="1">IFERROR(IF(Tidstabel[[#This Row],[År]]&gt;Input_Tidshorisont,BlankTegn,
FB_Vedligehold_p*-FB_Enhedspris*Tidstabel[[#This Row],[FB_Ved?]]*((1+Tidstabel[[#This Row],[Kalkulationsrente]])^-Tidstabel[[#This Row],[År]])*((1+PrisudviklingGenerelt)^Tidstabel[[#This Row],[År]])),BlankTegn)</f>
        <v>.</v>
      </c>
      <c r="BA8" s="245" t="str">
        <f>IFERROR(IF(Tidstabel[[#This Row],[År]]&gt;Input_Tidshorisont,BlankTegn,
IF(Tidstabel[[#This Row],[År]]=0,FB_Enhedspris,SUM(BA7:BB7)*((1+Tidstabel[[#This Row],[Kalkulationsrente]])^-1)*((1+PrisudviklingGenerelt)^1)-Tidstabel[[#This Row],[FB_Afskrivning]])),BlankTegn)</f>
        <v>.</v>
      </c>
      <c r="BB8" s="245" t="str">
        <f>IFERROR(IF(Tidstabel[[#This Row],[År]]&gt;Input_Tidshorisont,BlankTegn,
IF(Tidstabel[[#This Row],[År]]=0,0,Tidstabel[[#This Row],[FB_Uds?]]*FB_Enhedspris*((1+Tidstabel[[#This Row],[Kalkulationsrente]])^-Tidstabel[[#This Row],[År]])*((1+PrisudviklingGenerelt)^Tidstabel[[#This Row],[År]]))),BlankTegn)</f>
        <v>.</v>
      </c>
      <c r="BC8" s="262" t="str">
        <f>IFERROR(IF(Tidstabel[[#This Row],[År]]&gt;Input_Tidshorisont,BlankTegn,
IF(Tidstabel[[#This Row],[År]]=0,0,Tidstabel[[#This Row],[FB_Uds?]]*-FB_Enhedspris*FB_Genoprettelse*((1+Tidstabel[[#This Row],[Kalkulationsrente]])^-Tidstabel[[#This Row],[År]])*((1+PrisudviklingGenerelt)^Tidstabel[[#This Row],[År]]))),BlankTegn)</f>
        <v>.</v>
      </c>
      <c r="BD8" s="245">
        <f>IFERROR(IF(Tidstabel[[#This Row],[År]]&gt;Input_Tidshorisont,BlankTegn,
IF(Tidstabel[[#This Row],[År]]=0,-VS_Enhedspris,0)),BlankTegn)</f>
        <v>0</v>
      </c>
      <c r="BE8" s="245" t="str">
        <f>IFERROR(IF(Tidstabel[[#This Row],[År]]&gt;Input_Tidshorisont,BlankTegn,
IF(Tidstabel[[#This Row],[År]]=0,VS_Enhedspris/VS_Levetid,BE7*((1+Tidstabel[[#This Row],[Kalkulationsrente]])^-1)*((1+PrisudviklingGenerelt)^1))),BlankTegn)</f>
        <v>.</v>
      </c>
      <c r="BF8" s="178" t="str">
        <f ca="1">IFERROR(IF(Tidstabel[[#This Row],[År]]&gt;Input_Tidshorisont,BlankTegn,
IF(VS_Vedligehold_i=1,IF(Tidstabel[[#This Row],[VS_Uds?]]=0,1,0),IF(MAX(BF7:OFFSET(BG7,2-VS_Vedligehold_i,0),Tidstabel[[#This Row],[VS_Uds?]])=0,1,0))),BlankTegn)</f>
        <v>.</v>
      </c>
      <c r="BG8" s="178" t="str">
        <f>IFERROR(IF(Tidstabel[[#This Row],[År]]&gt;Input_Tidshorisont,BlankTegn,
IF(Tidstabel[[#This Row],[År]]=0,1,IF(MOD(Tidstabel[[#This Row],[År]],VS_Levetid)=0,1,IF(Tidstabel[[#This Row],[År]]=Input_Tidshorisont,0,0)))),BlankTegn)</f>
        <v>.</v>
      </c>
      <c r="BH8" s="245" t="str">
        <f ca="1">IFERROR(IF(Tidstabel[[#This Row],[År]]&gt;Input_Tidshorisont,BlankTegn,
VS_Vedligehold_p*-VS_Enhedspris*Tidstabel[[#This Row],[VS_Ved?]]*((1+Tidstabel[[#This Row],[Kalkulationsrente]])^-Tidstabel[[#This Row],[År]])*((1+PrisudviklingGenerelt)^Tidstabel[[#This Row],[År]])),BlankTegn)</f>
        <v>.</v>
      </c>
      <c r="BI8" s="245" t="str">
        <f>IFERROR(IF(Tidstabel[[#This Row],[År]]&gt;Input_Tidshorisont,BlankTegn,
IF(Tidstabel[[#This Row],[År]]=0,VS_Enhedspris,SUM(BI7:BJ7)*((1+Tidstabel[[#This Row],[Kalkulationsrente]])^-1)*((1+PrisudviklingGenerelt)^1)-Tidstabel[[#This Row],[VS_Afskrivning]])),BlankTegn)</f>
        <v>.</v>
      </c>
      <c r="BJ8" s="245" t="str">
        <f>IFERROR(IF(Tidstabel[[#This Row],[År]]&gt;Input_Tidshorisont,BlankTegn,
IF(Tidstabel[[#This Row],[År]]=0,0,Tidstabel[[#This Row],[VS_Uds?]]*VS_Enhedspris*((1+Tidstabel[[#This Row],[Kalkulationsrente]])^-Tidstabel[[#This Row],[År]])*((1+PrisudviklingGenerelt)^Tidstabel[[#This Row],[År]]))),BlankTegn)</f>
        <v>.</v>
      </c>
      <c r="BK8" s="262" t="str">
        <f>IFERROR(IF(Tidstabel[[#This Row],[År]]&gt;Input_Tidshorisont,BlankTegn,
IF(Tidstabel[[#This Row],[År]]=0,0,Tidstabel[[#This Row],[VS_Uds?]]*-VS_Enhedspris*VS_Genoprettelse*((1+Tidstabel[[#This Row],[Kalkulationsrente]])^-Tidstabel[[#This Row],[År]])*((1+PrisudviklingGenerelt)^Tidstabel[[#This Row],[År]]))),BlankTegn)</f>
        <v>.</v>
      </c>
      <c r="BL8" s="245">
        <f>IFERROR(IF(Tidstabel[[#This Row],[År]]&gt;Input_Tidshorisont,BlankTegn,
IF(Tidstabel[[#This Row],[År]]=0,-EI_Enhedspris,0)),BlankTegn)</f>
        <v>0</v>
      </c>
      <c r="BM8" s="245" t="str">
        <f>IFERROR(IF(Tidstabel[[#This Row],[År]]&gt;Input_Tidshorisont,BlankTegn,
IF(Tidstabel[[#This Row],[År]]=0,EI_Enhedspris/EI_Levetid,BM7*((1+Tidstabel[[#This Row],[Kalkulationsrente]])^-1)*((1+PrisudviklingGenerelt)^1))),BlankTegn)</f>
        <v>.</v>
      </c>
      <c r="BN8" s="178" t="str">
        <f ca="1">IFERROR(IF(Tidstabel[[#This Row],[År]]&gt;Input_Tidshorisont,BlankTegn,
IF(EI_Vedligehold_i=1,IF(Tidstabel[[#This Row],[EI_Uds?]]=0,1,0),IF(MAX(BN7:OFFSET(BO7,2-EI_Vedligehold_i,0),Tidstabel[[#This Row],[EI_Uds?]])=0,1,0))),BlankTegn)</f>
        <v>.</v>
      </c>
      <c r="BO8" s="178" t="str">
        <f>IFERROR(IF(Tidstabel[[#This Row],[År]]&gt;Input_Tidshorisont,BlankTegn,
IF(Tidstabel[[#This Row],[År]]=0,1,IF(MOD(Tidstabel[[#This Row],[År]],EI_Levetid)=0,1,IF(Tidstabel[[#This Row],[År]]=Input_Tidshorisont,0,0)))),BlankTegn)</f>
        <v>.</v>
      </c>
      <c r="BP8" s="245" t="str">
        <f ca="1">IFERROR(IF(Tidstabel[[#This Row],[År]]&gt;Input_Tidshorisont,BlankTegn,
EI_Vedligehold_p*-EI_Enhedspris*Tidstabel[[#This Row],[EI_Ved?]]*((1+Tidstabel[[#This Row],[Kalkulationsrente]])^-Tidstabel[[#This Row],[År]])*((1+PrisudviklingGenerelt)^Tidstabel[[#This Row],[År]])),BlankTegn)</f>
        <v>.</v>
      </c>
      <c r="BQ8" s="245" t="str">
        <f>IFERROR(IF(Tidstabel[[#This Row],[År]]&gt;Input_Tidshorisont,BlankTegn,
IF(Tidstabel[[#This Row],[År]]=0,EI_Enhedspris,SUM(BQ7:BR7)*((1+Tidstabel[[#This Row],[Kalkulationsrente]])^-1)*((1+PrisudviklingGenerelt)^1)-Tidstabel[[#This Row],[EI_Afskrivning]])),BlankTegn)</f>
        <v>.</v>
      </c>
      <c r="BR8" s="245" t="str">
        <f>IFERROR(IF(Tidstabel[[#This Row],[År]]&gt;Input_Tidshorisont,BlankTegn,
IF(Tidstabel[[#This Row],[År]]=0,0,Tidstabel[[#This Row],[EI_Uds?]]*EI_Enhedspris*((1+Tidstabel[[#This Row],[Kalkulationsrente]])^-Tidstabel[[#This Row],[År]])*((1+PrisudviklingGenerelt)^Tidstabel[[#This Row],[År]]))),BlankTegn)</f>
        <v>.</v>
      </c>
      <c r="BS8" s="262" t="str">
        <f>IFERROR(IF(Tidstabel[[#This Row],[År]]&gt;Input_Tidshorisont,BlankTegn,
IF(Tidstabel[[#This Row],[År]]=0,0,Tidstabel[[#This Row],[EI_Uds?]]*-EI_Enhedspris*EI_Genoprettelse*((1+Tidstabel[[#This Row],[Kalkulationsrente]])^-Tidstabel[[#This Row],[År]])*((1+PrisudviklingGenerelt)^Tidstabel[[#This Row],[År]]))),BlankTegn)</f>
        <v>.</v>
      </c>
      <c r="BT8" s="245">
        <f>IFERROR(IF(Tidstabel[[#This Row],[År]]&gt;Input_Tidshorisont,BlankTegn,
IF(Tidstabel[[#This Row],[År]]=0,-AP_Enhedspris,0)),BlankTegn)</f>
        <v>0</v>
      </c>
      <c r="BU8" s="245" t="str">
        <f>IFERROR(IF(Tidstabel[[#This Row],[År]]&gt;Input_Tidshorisont,BlankTegn,
IF(Tidstabel[[#This Row],[År]]=0,AP_Enhedspris/AP_Levetid,BU7*((1+Tidstabel[[#This Row],[Kalkulationsrente]])^-1)*((1+PrisudviklingGenerelt)^1))),BlankTegn)</f>
        <v>.</v>
      </c>
      <c r="BV8" s="178" t="str">
        <f ca="1">IFERROR(IF(Tidstabel[[#This Row],[År]]&gt;Input_Tidshorisont,BlankTegn,
IF(AP_Vedligehold_i=1,IF(Tidstabel[[#This Row],[AP_Uds?]]=0,1,0),IF(MAX(BV7:OFFSET(BW7,2-AP_Vedligehold_i,0),Tidstabel[[#This Row],[AP_Uds?]])=0,1,0))),BlankTegn)</f>
        <v>.</v>
      </c>
      <c r="BW8" s="178" t="str">
        <f>IFERROR(IF(Tidstabel[[#This Row],[År]]&gt;Input_Tidshorisont,BlankTegn,
IF(Tidstabel[[#This Row],[År]]=0,1,IF(MOD(Tidstabel[[#This Row],[År]],AP_Levetid)=0,1,IF(Tidstabel[[#This Row],[År]]=Input_Tidshorisont,0,0)))),BlankTegn)</f>
        <v>.</v>
      </c>
      <c r="BX8" s="245" t="str">
        <f ca="1">IFERROR(IF(Tidstabel[[#This Row],[År]]&gt;Input_Tidshorisont,BlankTegn,
AP_Vedligehold_p*-AP_Enhedspris*Tidstabel[[#This Row],[AP_Ved?]]*((1+Tidstabel[[#This Row],[Kalkulationsrente]])^-Tidstabel[[#This Row],[År]])*((1+PrisudviklingGenerelt)^Tidstabel[[#This Row],[År]])),BlankTegn)</f>
        <v>.</v>
      </c>
      <c r="BY8" s="245" t="str">
        <f>IFERROR(IF(Tidstabel[[#This Row],[År]]&gt;Input_Tidshorisont,BlankTegn,
IF(Tidstabel[[#This Row],[År]]=0,AP_Enhedspris,SUM(BY7:BZ7)*((1+Tidstabel[[#This Row],[Kalkulationsrente]])^-1)*((1+PrisudviklingGenerelt)^1)-Tidstabel[[#This Row],[AP_Afskrivning]])),BlankTegn)</f>
        <v>.</v>
      </c>
      <c r="BZ8" s="245" t="str">
        <f>IFERROR(IF(Tidstabel[[#This Row],[År]]&gt;Input_Tidshorisont,BlankTegn,
IF(Tidstabel[[#This Row],[År]]=0,0,Tidstabel[[#This Row],[AP_Uds?]]*AP_Enhedspris*((1+Tidstabel[[#This Row],[Kalkulationsrente]])^-Tidstabel[[#This Row],[År]])*((1+PrisudviklingGenerelt)^Tidstabel[[#This Row],[År]]))),BlankTegn)</f>
        <v>.</v>
      </c>
      <c r="CA8" s="262" t="str">
        <f>IFERROR(IF(Tidstabel[[#This Row],[År]]&gt;Input_Tidshorisont,BlankTegn,
IF(Tidstabel[[#This Row],[År]]=0,0,Tidstabel[[#This Row],[AP_Uds?]]*-AP_Enhedspris*AP_Genoprettelse*((1+Tidstabel[[#This Row],[Kalkulationsrente]])^-Tidstabel[[#This Row],[År]])*((1+PrisudviklingGenerelt)^Tidstabel[[#This Row],[År]]))),BlankTegn)</f>
        <v>.</v>
      </c>
      <c r="CB8" s="245">
        <f>IFERROR(IF(Tidstabel[[#This Row],[År]]&gt;Input_Tidshorisont,BlankTegn,
IF(Tidstabel[[#This Row],[År]]=0,-SK_Enhedspris,0)),BlankTegn)</f>
        <v>0</v>
      </c>
      <c r="CC8" s="245" t="str">
        <f>IFERROR(IF(Tidstabel[[#This Row],[År]]&gt;Input_Tidshorisont,BlankTegn,
IF(Tidstabel[[#This Row],[År]]=0,SK_Enhedspris/SK_Levetid,CC7*((1+Tidstabel[[#This Row],[Kalkulationsrente]])^-1)*((1+PrisudviklingGenerelt)^1))),BlankTegn)</f>
        <v>.</v>
      </c>
      <c r="CD8" s="178" t="str">
        <f ca="1">IFERROR(IF(Tidstabel[[#This Row],[År]]&gt;Input_Tidshorisont,BlankTegn,
IF(SK_Vedligehold_i=1,IF(Tidstabel[[#This Row],[SK_Uds?]]=0,1,0),IF(MAX(CD7:OFFSET(CE7,2-SK_Vedligehold_i,0),Tidstabel[[#This Row],[SK_Uds?]])=0,1,0))),BlankTegn)</f>
        <v>.</v>
      </c>
      <c r="CE8" s="178" t="str">
        <f>IFERROR(IF(Tidstabel[[#This Row],[År]]&gt;Input_Tidshorisont,BlankTegn,
IF(Tidstabel[[#This Row],[År]]=0,1,IF(MOD(Tidstabel[[#This Row],[År]],SK_Levetid)=0,1,IF(Tidstabel[[#This Row],[År]]=Input_Tidshorisont,0,0)))),BlankTegn)</f>
        <v>.</v>
      </c>
      <c r="CF8" s="245" t="str">
        <f ca="1">IFERROR(IF(Tidstabel[[#This Row],[År]]&gt;Input_Tidshorisont,BlankTegn,
SK_Vedligehold_p*-SK_Enhedspris*Tidstabel[[#This Row],[SK_Ved?]]*((1+Tidstabel[[#This Row],[Kalkulationsrente]])^-Tidstabel[[#This Row],[År]])*((1+PrisudviklingGenerelt)^Tidstabel[[#This Row],[År]])),BlankTegn)</f>
        <v>.</v>
      </c>
      <c r="CG8" s="245" t="str">
        <f>IFERROR(IF(Tidstabel[[#This Row],[År]]&gt;Input_Tidshorisont,BlankTegn,
IF(Tidstabel[[#This Row],[År]]=0,SK_Enhedspris,SUM(CG7:CH7)*((1+Tidstabel[[#This Row],[Kalkulationsrente]])^-1)*((1+PrisudviklingGenerelt)^1)-Tidstabel[[#This Row],[SK_Afskrivning]])),BlankTegn)</f>
        <v>.</v>
      </c>
      <c r="CH8" s="245" t="str">
        <f>IFERROR(IF(Tidstabel[[#This Row],[År]]&gt;Input_Tidshorisont,BlankTegn,
IF(Tidstabel[[#This Row],[År]]=0,0,Tidstabel[[#This Row],[SK_Uds?]]*SK_Enhedspris*((1+Tidstabel[[#This Row],[Kalkulationsrente]])^-Tidstabel[[#This Row],[År]])*((1+PrisudviklingGenerelt)^Tidstabel[[#This Row],[År]]))),BlankTegn)</f>
        <v>.</v>
      </c>
      <c r="CI8" s="262" t="str">
        <f>IFERROR(IF(Tidstabel[[#This Row],[År]]&gt;Input_Tidshorisont,BlankTegn,
IF(Tidstabel[[#This Row],[År]]=0,0,Tidstabel[[#This Row],[SK_Uds?]]*-SK_Enhedspris*SK_Genoprettelse*((1+Tidstabel[[#This Row],[Kalkulationsrente]])^-Tidstabel[[#This Row],[År]])*((1+PrisudviklingGenerelt)^Tidstabel[[#This Row],[År]]))),BlankTegn)</f>
        <v>.</v>
      </c>
      <c r="CJ8" s="19"/>
    </row>
    <row r="9" spans="1:88">
      <c r="A9" s="250">
        <v>2</v>
      </c>
      <c r="B9" s="250">
        <f>Input_Etableringsår+Tidstabel[[#This Row],[År]]</f>
        <v>2026</v>
      </c>
      <c r="C9" s="274" cm="1">
        <f t="array" ref="C9">_xlfn.IFS(Tidstabel[[#This Row],[År]]&gt;KR_Trin3_Tærskel,KR_Trin3_Rente,Tidstabel[[#This Row],[År]]&gt;KR_Trin2_Tærskel,KR_Trin2_Rente,Tidstabel[[#This Row],[År]]&gt;KR_Trin1_Tærskel,KR_Trin1_Rente,Tidstabel[[#This Row],[År]]&gt;KR_Trin0_Tærskel,KR_Trin0_Rente)</f>
        <v>3.5000000000000003E-2</v>
      </c>
      <c r="D9" s="142" t="str" cm="1">
        <f t="array" ref="D9">IFERROR(
INDEX(Range_Materiale_ÅrligeEmissioner,MATCH(1,(Materialedata[Komponent]=FB_Titel)*(Materialedata[Materiale]=FB_Materiale),0),MATCH(Tidstabel[[#This Row],[År]],Range_Materiale_År,0)),BlankTegn)</f>
        <v>.</v>
      </c>
      <c r="E9" s="142" t="str" cm="1">
        <f t="array" ref="E9">IFERROR(
INDEX(Range_Materiale_ÅrligeEmissioner,MATCH(1,(Materialedata[Komponent]=SK_Titel)*(Materialedata[Materiale]=SK_Materiale),0),MATCH(Tidstabel[[#This Row],[År]],Range_Materiale_År,0)),BlankTegn)</f>
        <v>.</v>
      </c>
      <c r="F9" s="142" t="str" cm="1">
        <f t="array" ref="F9">IFERROR(
INDEX(Range_Materiale_ÅrligeEmissioner,MATCH(1,(Materialedata[Komponent]=EI_Titel)*(Materialedata[Materiale]=EI_Materiale),0),MATCH(Tidstabel[[#This Row],[År]],Range_Materiale_År,0)),BlankTegn)</f>
        <v>.</v>
      </c>
      <c r="G9" s="142" t="str" cm="1">
        <f t="array" ref="G9">IFERROR(
INDEX(Range_Materiale_ÅrligeEmissioner,MATCH(1,(Materialedata[Komponent]=AP_Titel)*(Materialedata[Materiale]=AP_Materiale),0),MATCH(Tidstabel[[#This Row],[År]],Range_Materiale_År,0)),BlankTegn)</f>
        <v>.</v>
      </c>
      <c r="H9" s="142" t="str" cm="1">
        <f t="array" ref="H9">IFERROR(
INDEX(Range_Materiale_ÅrligeEmissioner,MATCH(1,(Materialedata[Komponent]=VS_Titel)*(Materialedata[Materiale]=VS_Materiale),0),MATCH(Tidstabel[[#This Row],[År]],Range_Materiale_År,0)),BlankTegn)</f>
        <v>.</v>
      </c>
      <c r="I9" s="142" t="str">
        <f>IFERROR(
IF(SUM(Tidstabel[[#This Row],[Facadebeklædning]:[Vindspærre]])=0,BlankTegn,
SUM(Tidstabel[[#This Row],[Facadebeklædning]:[Vindspærre]])),BlankTegn)</f>
        <v>.</v>
      </c>
      <c r="J9" s="139">
        <f>IF(Tidstabel[[#This Row],[År]]&gt;Input_Tidshorisont,BlankTegn,
A5_ElVarmeBrændstofByggeplads)</f>
        <v>0.25</v>
      </c>
      <c r="K9" s="142" t="str">
        <f>IFERROR(IF(Tidstabel[[#This Row],[År]]&gt;Input_Tidshorisont,BlankTegn,
-1*INDEX(Range_Energi_ÅrligBesparelse,MATCH(Input_EksisterendeFacade,Energiberegning[Ydervæg],0),MATCH(Tidstabel[[#This Row],[Årstal]],Range_Energi_Årstal,0))),BlankTegn)</f>
        <v>.</v>
      </c>
      <c r="L9" s="142">
        <f>IF(Tidstabel[[#This Row],[År]]&gt;Input_Tidshorisont,BlankTegn,
(Tidstabel[[#This Row],[År]]+1)*(SUM(Vedligeholdelsesmaterialer[Facadefarve],Vedligeholdelsesmaterialer[Grunder og mellemmaling])/12+SUM(Vedligeholdelsesmaterialer[Puds])/30))</f>
        <v>0.97456285749999993</v>
      </c>
      <c r="M9" s="142" t="str">
        <f>IFERROR(IF(Tidstabel[[#This Row],[År]]&gt;Input_Tidshorisont,BlankTegn,
Tidstabel[[#This Row],[Materialer_Total]]+Tidstabel[[#This Row],[Byggeprocess]]),BlankTegn)</f>
        <v>.</v>
      </c>
      <c r="N9" s="142" t="str">
        <f>IFERROR(IF(Tidstabel[[#This Row],[År]]&gt;Input_Tidshorisont,BlankTegn,
Tidstabel[[#This Row],[Energibesparelse]]+Tidstabel[[#This Row],[Emission_Brutto]]),BlankTegn)</f>
        <v>.</v>
      </c>
      <c r="O9" s="142" t="str">
        <f>IFERROR(IF(Tidstabel[[#This Row],[År]]&gt;Input_Tidshorisont,BlankTegn,
Tidstabel[[#This Row],[Emission_Netto]]-Tidstabel[[#This Row],[Vedligehold_EksisterendeFacade]]),BlankTegn)</f>
        <v>.</v>
      </c>
      <c r="P9" s="271" t="str">
        <f>IFERROR(IF(Tidstabel[[#This Row],[År]]&gt;Input_Tidshorisont,BlankTegn,
IF(AND(Tidstabel[[#This Row],[Emission_Netto]]-Tidstabel[[#This Row],[Vedligehold_EksisterendeFacade]]&gt;0,N10-L10&lt;0),-1,IF(AND(Tidstabel[[#This Row],[Emission_Netto]]-Tidstabel[[#This Row],[Vedligehold_EksisterendeFacade]]&lt;0,N10-L10&gt;0),1,0))),BlankTegn)</f>
        <v>.</v>
      </c>
      <c r="Q9" s="174" t="str">
        <f>IF(Tidstabel[[#This Row],[År]]&gt;Input_Tidshorisont,BlankTegn,
IF(Tidstabel[[#This Row],[LCA-Skæring]]=-1,SUM(Tidstabel[[#This Row],[År]]*(1-ABS(Tidstabel[[#This Row],[LCA-Difference]])/(ABS(Tidstabel[[#This Row],[LCA-Difference]])+ABS(O10))),A10*(1-ABS(O10)/(ABS(Tidstabel[[#This Row],[LCA-Difference]])+ABS(O10)))),"-"))</f>
        <v>-</v>
      </c>
      <c r="R9" s="174" t="str">
        <f>IF(Tidstabel[[#This Row],[År]]&gt;Input_Tidshorisont,BlankTegn,
IF(Tidstabel[[#This Row],[LCA-Skæring]]=-1,SUM(Tidstabel[[#This Row],[Emission_Netto]]*(1-ABS(Tidstabel[[#This Row],[LCA-Difference]])/(ABS(Tidstabel[[#This Row],[LCA-Difference]])+ABS(O10))),N10*(1-ABS(O10)/(ABS(Tidstabel[[#This Row],[LCA-Difference]])+ABS(O10)))),"-"))</f>
        <v>-</v>
      </c>
      <c r="S9" s="174" t="str">
        <f>IF(Tidstabel[[#This Row],[År]]&gt;Input_Tidshorisont,BlankTegn,
IF(Tidstabel[[#This Row],[LCA-Skæring]]=1,SUM(Tidstabel[[#This Row],[År]]*(1-ABS(Tidstabel[[#This Row],[LCA-Difference]])/(ABS(Tidstabel[[#This Row],[LCA-Difference]])+ABS(O10))),A10*(1-ABS(O10)/(ABS(Tidstabel[[#This Row],[LCA-Difference]])+ABS(O10)))),"-"))</f>
        <v>-</v>
      </c>
      <c r="T9" s="264" t="str">
        <f>IF(Tidstabel[[#This Row],[År]]&gt;Input_Tidshorisont,BlankTegn,
IF(Tidstabel[[#This Row],[LCA-Skæring]]=1,SUM(Tidstabel[[#This Row],[Emission_Netto]]*(1-ABS(Tidstabel[[#This Row],[LCA-Difference]])/(ABS(Tidstabel[[#This Row],[LCA-Difference]])+ABS(O10))),N10*(1-ABS(O10)/(ABS(Tidstabel[[#This Row],[LCA-Difference]])+ABS(O10)))),"-"))</f>
        <v>-</v>
      </c>
      <c r="U9" s="142" t="str">
        <f ca="1">IFERROR(IF(Tidstabel[[#This Row],[År]]&gt;Input_Tidshorisont,BlankTegn,
Tidstabel[[#This Row],[NPV_Klimafacade]]-Tidstabel[[#This Row],[NPV_Eksisterende]]),BlankTegn)</f>
        <v>.</v>
      </c>
      <c r="V9" s="271" t="str">
        <f ca="1">IFERROR(IF(Tidstabel[[#This Row],[År]]&gt;Input_Tidshorisont,BlankTegn,
IF(AND(Tidstabel[[#This Row],[NPV_Klimafacade]]-Tidstabel[[#This Row],[NPV_Eksisterende]]&gt;0,AB10-AA10&lt;0),1,IF(AND(Tidstabel[[#This Row],[NPV_Klimafacade]]-Tidstabel[[#This Row],[NPV_Eksisterende]]&lt;0,AB10-AA10&gt;0),-1,0))),BlankTegn)</f>
        <v>.</v>
      </c>
      <c r="W9" s="174" t="str">
        <f ca="1">IF(Tidstabel[[#This Row],[År]]&gt;Input_Tidshorisont,BlankTegn,
IF(Tidstabel[[#This Row],[LCC-Skæring]]=-1,SUM(Tidstabel[[#This Row],[År]]*(1-ABS(Tidstabel[[#This Row],[LCC-Difference]])/(ABS(Tidstabel[[#This Row],[LCC-Difference]])+ABS(U10))),A10*(1-ABS(U10)/(ABS(Tidstabel[[#This Row],[LCC-Difference]])+ABS(U10)))),"-"))</f>
        <v>-</v>
      </c>
      <c r="X9" s="174" t="str">
        <f ca="1">IF(Tidstabel[[#This Row],[År]]&gt;Input_Tidshorisont,BlankTegn,
IF(Tidstabel[[#This Row],[LCC-Skæring]]=-1,SUM(Tidstabel[[#This Row],[NPV_Klimafacade]]*(1-ABS(Tidstabel[[#This Row],[LCC-Difference]])/(ABS(Tidstabel[[#This Row],[LCC-Difference]])+ABS(U10))),AB10*(1-ABS(U10)/(ABS(Tidstabel[[#This Row],[LCC-Difference]])+ABS(U10)))),"-"))</f>
        <v>-</v>
      </c>
      <c r="Y9" s="174" t="str">
        <f ca="1">IF(Tidstabel[[#This Row],[År]]&gt;Input_Tidshorisont,BlankTegn,
IF(Tidstabel[[#This Row],[LCC-Skæring]]=1,SUM(Tidstabel[[#This Row],[År]]*(1-ABS(Tidstabel[[#This Row],[LCC-Difference]])/(ABS(Tidstabel[[#This Row],[LCC-Difference]])+ABS(U10))),A10*(1-ABS(U10)/(ABS(Tidstabel[[#This Row],[LCC-Difference]])+ABS(U10)))),"-"))</f>
        <v>-</v>
      </c>
      <c r="Z9" s="264" t="str">
        <f ca="1">IF(Tidstabel[[#This Row],[År]]&gt;Input_Tidshorisont,BlankTegn,
IF(Tidstabel[[#This Row],[LCC-Skæring]]=1,SUM(Tidstabel[[#This Row],[NPV_Klimafacade]]*(1-ABS(Tidstabel[[#This Row],[LCC-Difference]])/(ABS(Tidstabel[[#This Row],[LCC-Difference]])+ABS(U10))),AB10*(1-ABS(U10)/(ABS(Tidstabel[[#This Row],[LCC-Difference]])+ABS(U10)))),"-"))</f>
        <v>-</v>
      </c>
      <c r="AA9" s="142">
        <f ca="1">IF(Tidstabel[[#This Row],[År]]&gt;Input_Tidshorisont,BlankTegn,
Tidstabel[[#This Row],[EF_Vedligehold_Aggregeret]])</f>
        <v>-30.876766667577911</v>
      </c>
      <c r="AB9"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9" s="142" t="str">
        <f>IFERROR(IF(Tidstabel[[#This Row],[År]]&gt;Input_Tidshorisont,BlankTegn,
Tidstabel[[#This Row],[KF_Anskaffelse_Aggregeret]]+Tidstabel[[#This Row],[KF_Engangsudgifter_Aggregeret]]),BlankTegn)</f>
        <v>.</v>
      </c>
      <c r="AD9" s="174">
        <f ca="1">IFERROR(IF(Tidstabel[[#This Row],[År]]&gt;Input_Tidshorisont,BlankTegn,
IF(Tidstabel[[#This Row],[År]]=0,0,Tidstabel[[#This Row],[NPV_Eksisterende]]*(Tidstabel[[#This Row],[Kalkulationsrente]]/(1-(1+Tidstabel[[#This Row],[Kalkulationsrente]])^-Tidstabel[[#This Row],[År]])))),BlankTegn)</f>
        <v>-16.25354514667135</v>
      </c>
      <c r="AE9" s="264" t="str">
        <f ca="1">IFERROR(IF(Tidstabel[[#This Row],[År]]&gt;Input_Tidshorisont,BlankTegn,
IF(Tidstabel[[#This Row],[År]]=0,0,Tidstabel[[#This Row],[NPV_Klimafacade]]*(Tidstabel[[#This Row],[Kalkulationsrente]]/(1-(1+Tidstabel[[#This Row],[Kalkulationsrente]])^-Tidstabel[[#This Row],[År]])))),BlankTegn)</f>
        <v>.</v>
      </c>
      <c r="AF9" s="270">
        <f ca="1">IF(Tidstabel[[#This Row],[År]]&gt;Input_Tidshorisont,BlankTegn,
IF(EF_Vedligehold_i=1,IF(Tidstabel[[#This Row],[EF_Uds?]]=0,1,0),IF(MAX(AF8:OFFSET(AG8,2-EF_Vedligehold_i,0),Tidstabel[[#This Row],[EF_Uds?]])=0,1,0)))</f>
        <v>1</v>
      </c>
      <c r="AG9" s="181">
        <f>IF(Tidstabel[[#This Row],[År]]&gt;Input_Tidshorisont,BlankTegn,0)</f>
        <v>0</v>
      </c>
      <c r="AH9" s="263">
        <f ca="1">IF(Tidstabel[[#This Row],[År]]&gt;Input_Tidshorisont,BlankTegn,
Tidstabel[[#This Row],[EF_Ved?]]*EF_Vedligehold_p*-EF_Enhedspris*((1+Tidstabel[[#This Row],[Kalkulationsrente]])^-Tidstabel[[#This Row],[År]])*((1+PrisudviklingGenerelt)^Tidstabel[[#This Row],[År]]))</f>
        <v>-9.940286575369754</v>
      </c>
      <c r="AI9" s="262">
        <f ca="1">IF(Tidstabel[[#This Row],[År]]&gt;Input_Tidshorisont,BlankTegn,
IF(Tidstabel[[#This Row],[År]]=0,Tidstabel[[#This Row],[EF_Vedligehold]],AI8+Tidstabel[[#This Row],[EF_Vedligehold]]))</f>
        <v>-30.876766667577911</v>
      </c>
      <c r="AJ9" s="245">
        <f>IFERROR(IF(Tidstabel[[#This Row],[År]]&gt;Input_Tidshorisont,BlankTegn,
Tidstabel[[#This Row],[FB_Anskaffelse]]+Tidstabel[[#This Row],[VS_Anskaffelse]]+Tidstabel[[#This Row],[EI_Anskaffelse]]+Tidstabel[[#This Row],[AP_Anskaffelse]]+Tidstabel[[#This Row],[SK_Anskaffelse]]),BlankTegn)</f>
        <v>0</v>
      </c>
      <c r="AK9" s="245" t="str">
        <f>IFERROR(IF(Tidstabel[[#This Row],[År]]&gt;Input_Tidshorisont,BlankTegn,
IF(Tidstabel[[#This Row],[År]]=0,Tidstabel[[#This Row],[KF_Anskaffelse]],AK8+Tidstabel[[#This Row],[KF_Anskaffelse]])),BlankTegn)</f>
        <v>.</v>
      </c>
      <c r="AL9" s="246" t="str">
        <f ca="1">IFERROR(IF(Tidstabel[[#This Row],[År]]&gt;Input_Tidshorisont,BlankTegn,
Tidstabel[[#This Row],[FB_Vedligehold]]+Tidstabel[[#This Row],[VS_Vedligehold]]+Tidstabel[[#This Row],[EI_Vedligehold]]+Tidstabel[[#This Row],[AP_Vedligehold]]+Tidstabel[[#This Row],[SK_Vedligehold]]),BlankTegn)</f>
        <v>.</v>
      </c>
      <c r="AM9" s="245" t="str">
        <f ca="1">IFERROR(IF(Tidstabel[[#This Row],[År]]&gt;Input_Tidshorisont,BlankTegn,
IF(Tidstabel[[#This Row],[År]]=0,Tidstabel[[#This Row],[KF_Vedligehold]],AM8+Tidstabel[[#This Row],[KF_Vedligehold]])),BlankTegn)</f>
        <v>.</v>
      </c>
      <c r="AN9"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9"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9" s="245" t="str">
        <f>IFERROR(IF(Tidstabel[[#This Row],[År]]&gt;Input_Tidshorisont,BlankTegn,
IF(Tidstabel[[#This Row],[År]]=0,Tidstabel[[#This Row],[KF_Udskiftning_Komponent]],AP8+Tidstabel[[#This Row],[KF_Udskiftning_Komponent]])),BlankTegn)</f>
        <v>.</v>
      </c>
      <c r="AQ9" s="245">
        <f>IF(Tidstabel[[#This Row],[År]]&gt;Input_Tidshorisont,BlankTegn,
IF(Tidstabel[[#This Row],[År]]=0,-SUM(Engangsudgifter[Udgift]),0))</f>
        <v>0</v>
      </c>
      <c r="AR9" s="245">
        <f>IFERROR(IF(Tidstabel[[#This Row],[År]]&gt;Input_Tidshorisont,BlankTegn,
IF(Tidstabel[[#This Row],[År]]=0,Tidstabel[[#This Row],[KF_Engangsudgifter]],AR8+Tidstabel[[#This Row],[KF_Engangsudgifter]])),BlankTegn)</f>
        <v>0</v>
      </c>
      <c r="AS9" s="315" t="str">
        <f>IFERROR(IF(Tidstabel[[#This Row],[År]]&gt;Input_Tidshorisont,BlankTegn,
-Energibesparelse_Årlig),BlankTegn)</f>
        <v>.</v>
      </c>
      <c r="AT9" s="245" t="str">
        <f>IFERROR(IF(Tidstabel[[#This Row],[År]]&gt;Input_Tidshorisont,BlankTegn,
IF(Tidstabel[[#This Row],[År]]=0,0,-Tidstabel[[#This Row],[KF_Energiforbrug]]*Input_Fjernvarmepris*((1+Tidstabel[[#This Row],[Kalkulationsrente]])^-Tidstabel[[#This Row],[År]])*((1+PrisudviklingFjernvarme)^Tidstabel[[#This Row],[År]]))),BlankTegn)</f>
        <v>.</v>
      </c>
      <c r="AU9" s="262" t="str">
        <f>IFERROR(IF(Tidstabel[[#This Row],[År]]&gt;Input_Tidshorisont,BlankTegn,
IF(Tidstabel[[#This Row],[År]]=0,Tidstabel[[#This Row],[KF_Forsyning]],AU8+Tidstabel[[#This Row],[KF_Forsyning]])),BlankTegn)</f>
        <v>.</v>
      </c>
      <c r="AV9" s="245">
        <f>IFERROR(IF(Tidstabel[[#This Row],[År]]&gt;Input_Tidshorisont,BlankTegn,
IF(Tidstabel[[#This Row],[År]]=0,-FB_Enhedspris,0)),BlankTegn)</f>
        <v>0</v>
      </c>
      <c r="AW9" s="245" t="str">
        <f>IFERROR(IF(Tidstabel[[#This Row],[År]]&gt;Input_Tidshorisont,BlankTegn,
IF(Tidstabel[[#This Row],[År]]=0,FB_Enhedspris/FB_Levetid,AW8*((1+Tidstabel[[#This Row],[Kalkulationsrente]])^-1)*((1+PrisudviklingGenerelt)^1))),BlankTegn)</f>
        <v>.</v>
      </c>
      <c r="AX9" s="178" t="str">
        <f ca="1">IFERROR(IF(Tidstabel[[#This Row],[År]]&gt;Input_Tidshorisont,BlankTegn,
IF(FB_Vedligehold_i=1,IF(Tidstabel[[#This Row],[FB_Uds?]]=0,1,0),IF(MAX(AX8:OFFSET(AY8,2-FB_Vedligehold_i,0),Tidstabel[[#This Row],[FB_Uds?]])=0,1,0))),BlankTegn)</f>
        <v>.</v>
      </c>
      <c r="AY9" s="178" t="str">
        <f>IFERROR(IF(Tidstabel[[#This Row],[År]]&gt;Input_Tidshorisont,BlankTegn,
IF(Tidstabel[[#This Row],[År]]=0,1,IF(MOD(Tidstabel[[#This Row],[År]],FB_Levetid)=0,1,IF(Tidstabel[[#This Row],[År]]=Input_Tidshorisont,0,0)))),BlankTegn)</f>
        <v>.</v>
      </c>
      <c r="AZ9" s="245" t="str">
        <f ca="1">IFERROR(IF(Tidstabel[[#This Row],[År]]&gt;Input_Tidshorisont,BlankTegn,
FB_Vedligehold_p*-FB_Enhedspris*Tidstabel[[#This Row],[FB_Ved?]]*((1+Tidstabel[[#This Row],[Kalkulationsrente]])^-Tidstabel[[#This Row],[År]])*((1+PrisudviklingGenerelt)^Tidstabel[[#This Row],[År]])),BlankTegn)</f>
        <v>.</v>
      </c>
      <c r="BA9" s="245" t="str">
        <f>IFERROR(IF(Tidstabel[[#This Row],[År]]&gt;Input_Tidshorisont,BlankTegn,
IF(Tidstabel[[#This Row],[År]]=0,FB_Enhedspris,SUM(BA8:BB8)*((1+Tidstabel[[#This Row],[Kalkulationsrente]])^-1)*((1+PrisudviklingGenerelt)^1)-Tidstabel[[#This Row],[FB_Afskrivning]])),BlankTegn)</f>
        <v>.</v>
      </c>
      <c r="BB9" s="245" t="str">
        <f>IFERROR(IF(Tidstabel[[#This Row],[År]]&gt;Input_Tidshorisont,BlankTegn,
IF(Tidstabel[[#This Row],[År]]=0,0,Tidstabel[[#This Row],[FB_Uds?]]*FB_Enhedspris*((1+Tidstabel[[#This Row],[Kalkulationsrente]])^-Tidstabel[[#This Row],[År]])*((1+PrisudviklingGenerelt)^Tidstabel[[#This Row],[År]]))),BlankTegn)</f>
        <v>.</v>
      </c>
      <c r="BC9" s="262" t="str">
        <f>IFERROR(IF(Tidstabel[[#This Row],[År]]&gt;Input_Tidshorisont,BlankTegn,
IF(Tidstabel[[#This Row],[År]]=0,0,Tidstabel[[#This Row],[FB_Uds?]]*-FB_Enhedspris*FB_Genoprettelse*((1+Tidstabel[[#This Row],[Kalkulationsrente]])^-Tidstabel[[#This Row],[År]])*((1+PrisudviklingGenerelt)^Tidstabel[[#This Row],[År]]))),BlankTegn)</f>
        <v>.</v>
      </c>
      <c r="BD9" s="245">
        <f>IFERROR(IF(Tidstabel[[#This Row],[År]]&gt;Input_Tidshorisont,BlankTegn,
IF(Tidstabel[[#This Row],[År]]=0,-VS_Enhedspris,0)),BlankTegn)</f>
        <v>0</v>
      </c>
      <c r="BE9" s="245" t="str">
        <f>IFERROR(IF(Tidstabel[[#This Row],[År]]&gt;Input_Tidshorisont,BlankTegn,
IF(Tidstabel[[#This Row],[År]]=0,VS_Enhedspris/VS_Levetid,BE8*((1+Tidstabel[[#This Row],[Kalkulationsrente]])^-1)*((1+PrisudviklingGenerelt)^1))),BlankTegn)</f>
        <v>.</v>
      </c>
      <c r="BF9" s="178" t="str">
        <f ca="1">IFERROR(IF(Tidstabel[[#This Row],[År]]&gt;Input_Tidshorisont,BlankTegn,
IF(VS_Vedligehold_i=1,IF(Tidstabel[[#This Row],[VS_Uds?]]=0,1,0),IF(MAX(BF8:OFFSET(BG8,2-VS_Vedligehold_i,0),Tidstabel[[#This Row],[VS_Uds?]])=0,1,0))),BlankTegn)</f>
        <v>.</v>
      </c>
      <c r="BG9" s="178" t="str">
        <f>IFERROR(IF(Tidstabel[[#This Row],[År]]&gt;Input_Tidshorisont,BlankTegn,
IF(Tidstabel[[#This Row],[År]]=0,1,IF(MOD(Tidstabel[[#This Row],[År]],VS_Levetid)=0,1,IF(Tidstabel[[#This Row],[År]]=Input_Tidshorisont,0,0)))),BlankTegn)</f>
        <v>.</v>
      </c>
      <c r="BH9" s="245" t="str">
        <f ca="1">IFERROR(IF(Tidstabel[[#This Row],[År]]&gt;Input_Tidshorisont,BlankTegn,
VS_Vedligehold_p*-VS_Enhedspris*Tidstabel[[#This Row],[VS_Ved?]]*((1+Tidstabel[[#This Row],[Kalkulationsrente]])^-Tidstabel[[#This Row],[År]])*((1+PrisudviklingGenerelt)^Tidstabel[[#This Row],[År]])),BlankTegn)</f>
        <v>.</v>
      </c>
      <c r="BI9" s="245" t="str">
        <f>IFERROR(IF(Tidstabel[[#This Row],[År]]&gt;Input_Tidshorisont,BlankTegn,
IF(Tidstabel[[#This Row],[År]]=0,VS_Enhedspris,SUM(BI8:BJ8)*((1+Tidstabel[[#This Row],[Kalkulationsrente]])^-1)*((1+PrisudviklingGenerelt)^1)-Tidstabel[[#This Row],[VS_Afskrivning]])),BlankTegn)</f>
        <v>.</v>
      </c>
      <c r="BJ9" s="245" t="str">
        <f>IFERROR(IF(Tidstabel[[#This Row],[År]]&gt;Input_Tidshorisont,BlankTegn,
IF(Tidstabel[[#This Row],[År]]=0,0,Tidstabel[[#This Row],[VS_Uds?]]*VS_Enhedspris*((1+Tidstabel[[#This Row],[Kalkulationsrente]])^-Tidstabel[[#This Row],[År]])*((1+PrisudviklingGenerelt)^Tidstabel[[#This Row],[År]]))),BlankTegn)</f>
        <v>.</v>
      </c>
      <c r="BK9" s="262" t="str">
        <f>IFERROR(IF(Tidstabel[[#This Row],[År]]&gt;Input_Tidshorisont,BlankTegn,
IF(Tidstabel[[#This Row],[År]]=0,0,Tidstabel[[#This Row],[VS_Uds?]]*-VS_Enhedspris*VS_Genoprettelse*((1+Tidstabel[[#This Row],[Kalkulationsrente]])^-Tidstabel[[#This Row],[År]])*((1+PrisudviklingGenerelt)^Tidstabel[[#This Row],[År]]))),BlankTegn)</f>
        <v>.</v>
      </c>
      <c r="BL9" s="245">
        <f>IFERROR(IF(Tidstabel[[#This Row],[År]]&gt;Input_Tidshorisont,BlankTegn,
IF(Tidstabel[[#This Row],[År]]=0,-EI_Enhedspris,0)),BlankTegn)</f>
        <v>0</v>
      </c>
      <c r="BM9" s="245" t="str">
        <f>IFERROR(IF(Tidstabel[[#This Row],[År]]&gt;Input_Tidshorisont,BlankTegn,
IF(Tidstabel[[#This Row],[År]]=0,EI_Enhedspris/EI_Levetid,BM8*((1+Tidstabel[[#This Row],[Kalkulationsrente]])^-1)*((1+PrisudviklingGenerelt)^1))),BlankTegn)</f>
        <v>.</v>
      </c>
      <c r="BN9" s="178" t="str">
        <f ca="1">IFERROR(IF(Tidstabel[[#This Row],[År]]&gt;Input_Tidshorisont,BlankTegn,
IF(EI_Vedligehold_i=1,IF(Tidstabel[[#This Row],[EI_Uds?]]=0,1,0),IF(MAX(BN8:OFFSET(BO8,2-EI_Vedligehold_i,0),Tidstabel[[#This Row],[EI_Uds?]])=0,1,0))),BlankTegn)</f>
        <v>.</v>
      </c>
      <c r="BO9" s="178" t="str">
        <f>IFERROR(IF(Tidstabel[[#This Row],[År]]&gt;Input_Tidshorisont,BlankTegn,
IF(Tidstabel[[#This Row],[År]]=0,1,IF(MOD(Tidstabel[[#This Row],[År]],EI_Levetid)=0,1,IF(Tidstabel[[#This Row],[År]]=Input_Tidshorisont,0,0)))),BlankTegn)</f>
        <v>.</v>
      </c>
      <c r="BP9" s="245" t="str">
        <f ca="1">IFERROR(IF(Tidstabel[[#This Row],[År]]&gt;Input_Tidshorisont,BlankTegn,
EI_Vedligehold_p*-EI_Enhedspris*Tidstabel[[#This Row],[EI_Ved?]]*((1+Tidstabel[[#This Row],[Kalkulationsrente]])^-Tidstabel[[#This Row],[År]])*((1+PrisudviklingGenerelt)^Tidstabel[[#This Row],[År]])),BlankTegn)</f>
        <v>.</v>
      </c>
      <c r="BQ9" s="245" t="str">
        <f>IFERROR(IF(Tidstabel[[#This Row],[År]]&gt;Input_Tidshorisont,BlankTegn,
IF(Tidstabel[[#This Row],[År]]=0,EI_Enhedspris,SUM(BQ8:BR8)*((1+Tidstabel[[#This Row],[Kalkulationsrente]])^-1)*((1+PrisudviklingGenerelt)^1)-Tidstabel[[#This Row],[EI_Afskrivning]])),BlankTegn)</f>
        <v>.</v>
      </c>
      <c r="BR9" s="245" t="str">
        <f>IFERROR(IF(Tidstabel[[#This Row],[År]]&gt;Input_Tidshorisont,BlankTegn,
IF(Tidstabel[[#This Row],[År]]=0,0,Tidstabel[[#This Row],[EI_Uds?]]*EI_Enhedspris*((1+Tidstabel[[#This Row],[Kalkulationsrente]])^-Tidstabel[[#This Row],[År]])*((1+PrisudviklingGenerelt)^Tidstabel[[#This Row],[År]]))),BlankTegn)</f>
        <v>.</v>
      </c>
      <c r="BS9" s="262" t="str">
        <f>IFERROR(IF(Tidstabel[[#This Row],[År]]&gt;Input_Tidshorisont,BlankTegn,
IF(Tidstabel[[#This Row],[År]]=0,0,Tidstabel[[#This Row],[EI_Uds?]]*-EI_Enhedspris*EI_Genoprettelse*((1+Tidstabel[[#This Row],[Kalkulationsrente]])^-Tidstabel[[#This Row],[År]])*((1+PrisudviklingGenerelt)^Tidstabel[[#This Row],[År]]))),BlankTegn)</f>
        <v>.</v>
      </c>
      <c r="BT9" s="245">
        <f>IFERROR(IF(Tidstabel[[#This Row],[År]]&gt;Input_Tidshorisont,BlankTegn,
IF(Tidstabel[[#This Row],[År]]=0,-AP_Enhedspris,0)),BlankTegn)</f>
        <v>0</v>
      </c>
      <c r="BU9" s="245" t="str">
        <f>IFERROR(IF(Tidstabel[[#This Row],[År]]&gt;Input_Tidshorisont,BlankTegn,
IF(Tidstabel[[#This Row],[År]]=0,AP_Enhedspris/AP_Levetid,BU8*((1+Tidstabel[[#This Row],[Kalkulationsrente]])^-1)*((1+PrisudviklingGenerelt)^1))),BlankTegn)</f>
        <v>.</v>
      </c>
      <c r="BV9" s="178" t="str">
        <f ca="1">IFERROR(IF(Tidstabel[[#This Row],[År]]&gt;Input_Tidshorisont,BlankTegn,
IF(AP_Vedligehold_i=1,IF(Tidstabel[[#This Row],[AP_Uds?]]=0,1,0),IF(MAX(BV8:OFFSET(BW8,2-AP_Vedligehold_i,0),Tidstabel[[#This Row],[AP_Uds?]])=0,1,0))),BlankTegn)</f>
        <v>.</v>
      </c>
      <c r="BW9" s="178" t="str">
        <f>IFERROR(IF(Tidstabel[[#This Row],[År]]&gt;Input_Tidshorisont,BlankTegn,
IF(Tidstabel[[#This Row],[År]]=0,1,IF(MOD(Tidstabel[[#This Row],[År]],AP_Levetid)=0,1,IF(Tidstabel[[#This Row],[År]]=Input_Tidshorisont,0,0)))),BlankTegn)</f>
        <v>.</v>
      </c>
      <c r="BX9" s="245" t="str">
        <f ca="1">IFERROR(IF(Tidstabel[[#This Row],[År]]&gt;Input_Tidshorisont,BlankTegn,
AP_Vedligehold_p*-AP_Enhedspris*Tidstabel[[#This Row],[AP_Ved?]]*((1+Tidstabel[[#This Row],[Kalkulationsrente]])^-Tidstabel[[#This Row],[År]])*((1+PrisudviklingGenerelt)^Tidstabel[[#This Row],[År]])),BlankTegn)</f>
        <v>.</v>
      </c>
      <c r="BY9" s="245" t="str">
        <f>IFERROR(IF(Tidstabel[[#This Row],[År]]&gt;Input_Tidshorisont,BlankTegn,
IF(Tidstabel[[#This Row],[År]]=0,AP_Enhedspris,SUM(BY8:BZ8)*((1+Tidstabel[[#This Row],[Kalkulationsrente]])^-1)*((1+PrisudviklingGenerelt)^1)-Tidstabel[[#This Row],[AP_Afskrivning]])),BlankTegn)</f>
        <v>.</v>
      </c>
      <c r="BZ9" s="245" t="str">
        <f>IFERROR(IF(Tidstabel[[#This Row],[År]]&gt;Input_Tidshorisont,BlankTegn,
IF(Tidstabel[[#This Row],[År]]=0,0,Tidstabel[[#This Row],[AP_Uds?]]*AP_Enhedspris*((1+Tidstabel[[#This Row],[Kalkulationsrente]])^-Tidstabel[[#This Row],[År]])*((1+PrisudviklingGenerelt)^Tidstabel[[#This Row],[År]]))),BlankTegn)</f>
        <v>.</v>
      </c>
      <c r="CA9" s="262" t="str">
        <f>IFERROR(IF(Tidstabel[[#This Row],[År]]&gt;Input_Tidshorisont,BlankTegn,
IF(Tidstabel[[#This Row],[År]]=0,0,Tidstabel[[#This Row],[AP_Uds?]]*-AP_Enhedspris*AP_Genoprettelse*((1+Tidstabel[[#This Row],[Kalkulationsrente]])^-Tidstabel[[#This Row],[År]])*((1+PrisudviklingGenerelt)^Tidstabel[[#This Row],[År]]))),BlankTegn)</f>
        <v>.</v>
      </c>
      <c r="CB9" s="245">
        <f>IFERROR(IF(Tidstabel[[#This Row],[År]]&gt;Input_Tidshorisont,BlankTegn,
IF(Tidstabel[[#This Row],[År]]=0,-SK_Enhedspris,0)),BlankTegn)</f>
        <v>0</v>
      </c>
      <c r="CC9" s="245" t="str">
        <f>IFERROR(IF(Tidstabel[[#This Row],[År]]&gt;Input_Tidshorisont,BlankTegn,
IF(Tidstabel[[#This Row],[År]]=0,SK_Enhedspris/SK_Levetid,CC8*((1+Tidstabel[[#This Row],[Kalkulationsrente]])^-1)*((1+PrisudviklingGenerelt)^1))),BlankTegn)</f>
        <v>.</v>
      </c>
      <c r="CD9" s="178" t="str">
        <f ca="1">IFERROR(IF(Tidstabel[[#This Row],[År]]&gt;Input_Tidshorisont,BlankTegn,
IF(SK_Vedligehold_i=1,IF(Tidstabel[[#This Row],[SK_Uds?]]=0,1,0),IF(MAX(CD8:OFFSET(CE8,2-SK_Vedligehold_i,0),Tidstabel[[#This Row],[SK_Uds?]])=0,1,0))),BlankTegn)</f>
        <v>.</v>
      </c>
      <c r="CE9" s="178" t="str">
        <f>IFERROR(IF(Tidstabel[[#This Row],[År]]&gt;Input_Tidshorisont,BlankTegn,
IF(Tidstabel[[#This Row],[År]]=0,1,IF(MOD(Tidstabel[[#This Row],[År]],SK_Levetid)=0,1,IF(Tidstabel[[#This Row],[År]]=Input_Tidshorisont,0,0)))),BlankTegn)</f>
        <v>.</v>
      </c>
      <c r="CF9" s="245" t="str">
        <f ca="1">IFERROR(IF(Tidstabel[[#This Row],[År]]&gt;Input_Tidshorisont,BlankTegn,
SK_Vedligehold_p*-SK_Enhedspris*Tidstabel[[#This Row],[SK_Ved?]]*((1+Tidstabel[[#This Row],[Kalkulationsrente]])^-Tidstabel[[#This Row],[År]])*((1+PrisudviklingGenerelt)^Tidstabel[[#This Row],[År]])),BlankTegn)</f>
        <v>.</v>
      </c>
      <c r="CG9" s="245" t="str">
        <f>IFERROR(IF(Tidstabel[[#This Row],[År]]&gt;Input_Tidshorisont,BlankTegn,
IF(Tidstabel[[#This Row],[År]]=0,SK_Enhedspris,SUM(CG8:CH8)*((1+Tidstabel[[#This Row],[Kalkulationsrente]])^-1)*((1+PrisudviklingGenerelt)^1)-Tidstabel[[#This Row],[SK_Afskrivning]])),BlankTegn)</f>
        <v>.</v>
      </c>
      <c r="CH9" s="245" t="str">
        <f>IFERROR(IF(Tidstabel[[#This Row],[År]]&gt;Input_Tidshorisont,BlankTegn,
IF(Tidstabel[[#This Row],[År]]=0,0,Tidstabel[[#This Row],[SK_Uds?]]*SK_Enhedspris*((1+Tidstabel[[#This Row],[Kalkulationsrente]])^-Tidstabel[[#This Row],[År]])*((1+PrisudviklingGenerelt)^Tidstabel[[#This Row],[År]]))),BlankTegn)</f>
        <v>.</v>
      </c>
      <c r="CI9" s="262" t="str">
        <f>IFERROR(IF(Tidstabel[[#This Row],[År]]&gt;Input_Tidshorisont,BlankTegn,
IF(Tidstabel[[#This Row],[År]]=0,0,Tidstabel[[#This Row],[SK_Uds?]]*-SK_Enhedspris*SK_Genoprettelse*((1+Tidstabel[[#This Row],[Kalkulationsrente]])^-Tidstabel[[#This Row],[År]])*((1+PrisudviklingGenerelt)^Tidstabel[[#This Row],[År]]))),BlankTegn)</f>
        <v>.</v>
      </c>
      <c r="CJ9" s="19"/>
    </row>
    <row r="10" spans="1:88">
      <c r="A10" s="250">
        <v>3</v>
      </c>
      <c r="B10" s="250">
        <f>Input_Etableringsår+Tidstabel[[#This Row],[År]]</f>
        <v>2027</v>
      </c>
      <c r="C10" s="274" cm="1">
        <f t="array" ref="C10">_xlfn.IFS(Tidstabel[[#This Row],[År]]&gt;KR_Trin3_Tærskel,KR_Trin3_Rente,Tidstabel[[#This Row],[År]]&gt;KR_Trin2_Tærskel,KR_Trin2_Rente,Tidstabel[[#This Row],[År]]&gt;KR_Trin1_Tærskel,KR_Trin1_Rente,Tidstabel[[#This Row],[År]]&gt;KR_Trin0_Tærskel,KR_Trin0_Rente)</f>
        <v>3.5000000000000003E-2</v>
      </c>
      <c r="D10" s="142" t="str" cm="1">
        <f t="array" ref="D10">IFERROR(
INDEX(Range_Materiale_ÅrligeEmissioner,MATCH(1,(Materialedata[Komponent]=FB_Titel)*(Materialedata[Materiale]=FB_Materiale),0),MATCH(Tidstabel[[#This Row],[År]],Range_Materiale_År,0)),BlankTegn)</f>
        <v>.</v>
      </c>
      <c r="E10" s="142" t="str" cm="1">
        <f t="array" ref="E10">IFERROR(
INDEX(Range_Materiale_ÅrligeEmissioner,MATCH(1,(Materialedata[Komponent]=SK_Titel)*(Materialedata[Materiale]=SK_Materiale),0),MATCH(Tidstabel[[#This Row],[År]],Range_Materiale_År,0)),BlankTegn)</f>
        <v>.</v>
      </c>
      <c r="F10" s="142" t="str" cm="1">
        <f t="array" ref="F10">IFERROR(
INDEX(Range_Materiale_ÅrligeEmissioner,MATCH(1,(Materialedata[Komponent]=EI_Titel)*(Materialedata[Materiale]=EI_Materiale),0),MATCH(Tidstabel[[#This Row],[År]],Range_Materiale_År,0)),BlankTegn)</f>
        <v>.</v>
      </c>
      <c r="G10" s="142" t="str" cm="1">
        <f t="array" ref="G10">IFERROR(
INDEX(Range_Materiale_ÅrligeEmissioner,MATCH(1,(Materialedata[Komponent]=AP_Titel)*(Materialedata[Materiale]=AP_Materiale),0),MATCH(Tidstabel[[#This Row],[År]],Range_Materiale_År,0)),BlankTegn)</f>
        <v>.</v>
      </c>
      <c r="H10" s="142" t="str" cm="1">
        <f t="array" ref="H10">IFERROR(
INDEX(Range_Materiale_ÅrligeEmissioner,MATCH(1,(Materialedata[Komponent]=VS_Titel)*(Materialedata[Materiale]=VS_Materiale),0),MATCH(Tidstabel[[#This Row],[År]],Range_Materiale_År,0)),BlankTegn)</f>
        <v>.</v>
      </c>
      <c r="I10" s="142" t="str">
        <f>IFERROR(
IF(SUM(Tidstabel[[#This Row],[Facadebeklædning]:[Vindspærre]])=0,BlankTegn,
SUM(Tidstabel[[#This Row],[Facadebeklædning]:[Vindspærre]])),BlankTegn)</f>
        <v>.</v>
      </c>
      <c r="J10" s="139">
        <f>IF(Tidstabel[[#This Row],[År]]&gt;Input_Tidshorisont,BlankTegn,
A5_ElVarmeBrændstofByggeplads)</f>
        <v>0.25</v>
      </c>
      <c r="K10" s="142" t="str">
        <f>IFERROR(IF(Tidstabel[[#This Row],[År]]&gt;Input_Tidshorisont,BlankTegn,
-1*INDEX(Range_Energi_ÅrligBesparelse,MATCH(Input_EksisterendeFacade,Energiberegning[Ydervæg],0),MATCH(Tidstabel[[#This Row],[Årstal]],Range_Energi_Årstal,0))),BlankTegn)</f>
        <v>.</v>
      </c>
      <c r="L10" s="142">
        <f>IF(Tidstabel[[#This Row],[År]]&gt;Input_Tidshorisont,BlankTegn,
(Tidstabel[[#This Row],[År]]+1)*(SUM(Vedligeholdelsesmaterialer[Facadefarve],Vedligeholdelsesmaterialer[Grunder og mellemmaling])/12+SUM(Vedligeholdelsesmaterialer[Puds])/30))</f>
        <v>1.2994171433333332</v>
      </c>
      <c r="M10" s="142" t="str">
        <f>IFERROR(IF(Tidstabel[[#This Row],[År]]&gt;Input_Tidshorisont,BlankTegn,
Tidstabel[[#This Row],[Materialer_Total]]+Tidstabel[[#This Row],[Byggeprocess]]),BlankTegn)</f>
        <v>.</v>
      </c>
      <c r="N10" s="142" t="str">
        <f>IFERROR(IF(Tidstabel[[#This Row],[År]]&gt;Input_Tidshorisont,BlankTegn,
Tidstabel[[#This Row],[Energibesparelse]]+Tidstabel[[#This Row],[Emission_Brutto]]),BlankTegn)</f>
        <v>.</v>
      </c>
      <c r="O10" s="142" t="str">
        <f>IFERROR(IF(Tidstabel[[#This Row],[År]]&gt;Input_Tidshorisont,BlankTegn,
Tidstabel[[#This Row],[Emission_Netto]]-Tidstabel[[#This Row],[Vedligehold_EksisterendeFacade]]),BlankTegn)</f>
        <v>.</v>
      </c>
      <c r="P10" s="271" t="str">
        <f>IFERROR(IF(Tidstabel[[#This Row],[År]]&gt;Input_Tidshorisont,BlankTegn,
IF(AND(Tidstabel[[#This Row],[Emission_Netto]]-Tidstabel[[#This Row],[Vedligehold_EksisterendeFacade]]&gt;0,N11-L11&lt;0),-1,IF(AND(Tidstabel[[#This Row],[Emission_Netto]]-Tidstabel[[#This Row],[Vedligehold_EksisterendeFacade]]&lt;0,N11-L11&gt;0),1,0))),BlankTegn)</f>
        <v>.</v>
      </c>
      <c r="Q10" s="174" t="str">
        <f>IF(Tidstabel[[#This Row],[År]]&gt;Input_Tidshorisont,BlankTegn,
IF(Tidstabel[[#This Row],[LCA-Skæring]]=-1,SUM(Tidstabel[[#This Row],[År]]*(1-ABS(Tidstabel[[#This Row],[LCA-Difference]])/(ABS(Tidstabel[[#This Row],[LCA-Difference]])+ABS(O11))),A11*(1-ABS(O11)/(ABS(Tidstabel[[#This Row],[LCA-Difference]])+ABS(O11)))),"-"))</f>
        <v>-</v>
      </c>
      <c r="R10" s="174" t="str">
        <f>IF(Tidstabel[[#This Row],[År]]&gt;Input_Tidshorisont,BlankTegn,
IF(Tidstabel[[#This Row],[LCA-Skæring]]=-1,SUM(Tidstabel[[#This Row],[Emission_Netto]]*(1-ABS(Tidstabel[[#This Row],[LCA-Difference]])/(ABS(Tidstabel[[#This Row],[LCA-Difference]])+ABS(O11))),N11*(1-ABS(O11)/(ABS(Tidstabel[[#This Row],[LCA-Difference]])+ABS(O11)))),"-"))</f>
        <v>-</v>
      </c>
      <c r="S10" s="174" t="str">
        <f>IF(Tidstabel[[#This Row],[År]]&gt;Input_Tidshorisont,BlankTegn,
IF(Tidstabel[[#This Row],[LCA-Skæring]]=1,SUM(Tidstabel[[#This Row],[År]]*(1-ABS(Tidstabel[[#This Row],[LCA-Difference]])/(ABS(Tidstabel[[#This Row],[LCA-Difference]])+ABS(O11))),A11*(1-ABS(O11)/(ABS(Tidstabel[[#This Row],[LCA-Difference]])+ABS(O11)))),"-"))</f>
        <v>-</v>
      </c>
      <c r="T10" s="264" t="str">
        <f>IF(Tidstabel[[#This Row],[År]]&gt;Input_Tidshorisont,BlankTegn,
IF(Tidstabel[[#This Row],[LCA-Skæring]]=1,SUM(Tidstabel[[#This Row],[Emission_Netto]]*(1-ABS(Tidstabel[[#This Row],[LCA-Difference]])/(ABS(Tidstabel[[#This Row],[LCA-Difference]])+ABS(O11))),N11*(1-ABS(O11)/(ABS(Tidstabel[[#This Row],[LCA-Difference]])+ABS(O11)))),"-"))</f>
        <v>-</v>
      </c>
      <c r="U10" s="142" t="str">
        <f ca="1">IFERROR(IF(Tidstabel[[#This Row],[År]]&gt;Input_Tidshorisont,BlankTegn,
Tidstabel[[#This Row],[NPV_Klimafacade]]-Tidstabel[[#This Row],[NPV_Eksisterende]]),BlankTegn)</f>
        <v>.</v>
      </c>
      <c r="V10" s="271" t="str">
        <f ca="1">IFERROR(IF(Tidstabel[[#This Row],[År]]&gt;Input_Tidshorisont,BlankTegn,
IF(AND(Tidstabel[[#This Row],[NPV_Klimafacade]]-Tidstabel[[#This Row],[NPV_Eksisterende]]&gt;0,AB11-AA11&lt;0),1,IF(AND(Tidstabel[[#This Row],[NPV_Klimafacade]]-Tidstabel[[#This Row],[NPV_Eksisterende]]&lt;0,AB11-AA11&gt;0),-1,0))),BlankTegn)</f>
        <v>.</v>
      </c>
      <c r="W10" s="174" t="str">
        <f ca="1">IF(Tidstabel[[#This Row],[År]]&gt;Input_Tidshorisont,BlankTegn,
IF(Tidstabel[[#This Row],[LCC-Skæring]]=-1,SUM(Tidstabel[[#This Row],[År]]*(1-ABS(Tidstabel[[#This Row],[LCC-Difference]])/(ABS(Tidstabel[[#This Row],[LCC-Difference]])+ABS(U11))),A11*(1-ABS(U11)/(ABS(Tidstabel[[#This Row],[LCC-Difference]])+ABS(U11)))),"-"))</f>
        <v>-</v>
      </c>
      <c r="X10" s="174" t="str">
        <f ca="1">IF(Tidstabel[[#This Row],[År]]&gt;Input_Tidshorisont,BlankTegn,
IF(Tidstabel[[#This Row],[LCC-Skæring]]=-1,SUM(Tidstabel[[#This Row],[NPV_Klimafacade]]*(1-ABS(Tidstabel[[#This Row],[LCC-Difference]])/(ABS(Tidstabel[[#This Row],[LCC-Difference]])+ABS(U11))),AB11*(1-ABS(U11)/(ABS(Tidstabel[[#This Row],[LCC-Difference]])+ABS(U11)))),"-"))</f>
        <v>-</v>
      </c>
      <c r="Y10" s="174" t="str">
        <f ca="1">IF(Tidstabel[[#This Row],[År]]&gt;Input_Tidshorisont,BlankTegn,
IF(Tidstabel[[#This Row],[LCC-Skæring]]=1,SUM(Tidstabel[[#This Row],[År]]*(1-ABS(Tidstabel[[#This Row],[LCC-Difference]])/(ABS(Tidstabel[[#This Row],[LCC-Difference]])+ABS(U11))),A11*(1-ABS(U11)/(ABS(Tidstabel[[#This Row],[LCC-Difference]])+ABS(U11)))),"-"))</f>
        <v>-</v>
      </c>
      <c r="Z10" s="264" t="str">
        <f ca="1">IF(Tidstabel[[#This Row],[År]]&gt;Input_Tidshorisont,BlankTegn,
IF(Tidstabel[[#This Row],[LCC-Skæring]]=1,SUM(Tidstabel[[#This Row],[NPV_Klimafacade]]*(1-ABS(Tidstabel[[#This Row],[LCC-Difference]])/(ABS(Tidstabel[[#This Row],[LCC-Difference]])+ABS(U11))),AB11*(1-ABS(U11)/(ABS(Tidstabel[[#This Row],[LCC-Difference]])+ABS(U11)))),"-"))</f>
        <v>-</v>
      </c>
      <c r="AA10" s="142">
        <f ca="1">IF(Tidstabel[[#This Row],[År]]&gt;Input_Tidshorisont,BlankTegn,
Tidstabel[[#This Row],[EF_Vedligehold_Aggregeret]])</f>
        <v>-40.480908286292653</v>
      </c>
      <c r="AB10"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10" s="142" t="str">
        <f>IFERROR(IF(Tidstabel[[#This Row],[År]]&gt;Input_Tidshorisont,BlankTegn,
Tidstabel[[#This Row],[KF_Anskaffelse_Aggregeret]]+Tidstabel[[#This Row],[KF_Engangsudgifter_Aggregeret]]),BlankTegn)</f>
        <v>.</v>
      </c>
      <c r="AD10" s="174">
        <f ca="1">IFERROR(IF(Tidstabel[[#This Row],[År]]&gt;Input_Tidshorisont,BlankTegn,
IF(Tidstabel[[#This Row],[År]]=0,0,Tidstabel[[#This Row],[NPV_Eksisterende]]*(Tidstabel[[#This Row],[Kalkulationsrente]]/(1-(1+Tidstabel[[#This Row],[Kalkulationsrente]])^-Tidstabel[[#This Row],[År]])))),BlankTegn)</f>
        <v>-14.449019827362275</v>
      </c>
      <c r="AE10" s="264" t="str">
        <f ca="1">IFERROR(IF(Tidstabel[[#This Row],[År]]&gt;Input_Tidshorisont,BlankTegn,
IF(Tidstabel[[#This Row],[År]]=0,0,Tidstabel[[#This Row],[NPV_Klimafacade]]*(Tidstabel[[#This Row],[Kalkulationsrente]]/(1-(1+Tidstabel[[#This Row],[Kalkulationsrente]])^-Tidstabel[[#This Row],[År]])))),BlankTegn)</f>
        <v>.</v>
      </c>
      <c r="AF10" s="270">
        <f ca="1">IF(Tidstabel[[#This Row],[År]]&gt;Input_Tidshorisont,BlankTegn,
IF(EF_Vedligehold_i=1,IF(Tidstabel[[#This Row],[EF_Uds?]]=0,1,0),IF(MAX(AF9:OFFSET(AG9,2-EF_Vedligehold_i,0),Tidstabel[[#This Row],[EF_Uds?]])=0,1,0)))</f>
        <v>1</v>
      </c>
      <c r="AG10" s="181">
        <f>IF(Tidstabel[[#This Row],[År]]&gt;Input_Tidshorisont,BlankTegn,0)</f>
        <v>0</v>
      </c>
      <c r="AH10" s="263">
        <f ca="1">IF(Tidstabel[[#This Row],[År]]&gt;Input_Tidshorisont,BlankTegn,
Tidstabel[[#This Row],[EF_Ved?]]*EF_Vedligehold_p*-EF_Enhedspris*((1+Tidstabel[[#This Row],[Kalkulationsrente]])^-Tidstabel[[#This Row],[År]])*((1+PrisudviklingGenerelt)^Tidstabel[[#This Row],[År]]))</f>
        <v>-9.6041416187147401</v>
      </c>
      <c r="AI10" s="262">
        <f ca="1">IF(Tidstabel[[#This Row],[År]]&gt;Input_Tidshorisont,BlankTegn,
IF(Tidstabel[[#This Row],[År]]=0,Tidstabel[[#This Row],[EF_Vedligehold]],AI9+Tidstabel[[#This Row],[EF_Vedligehold]]))</f>
        <v>-40.480908286292653</v>
      </c>
      <c r="AJ10" s="245">
        <f>IFERROR(IF(Tidstabel[[#This Row],[År]]&gt;Input_Tidshorisont,BlankTegn,
Tidstabel[[#This Row],[FB_Anskaffelse]]+Tidstabel[[#This Row],[VS_Anskaffelse]]+Tidstabel[[#This Row],[EI_Anskaffelse]]+Tidstabel[[#This Row],[AP_Anskaffelse]]+Tidstabel[[#This Row],[SK_Anskaffelse]]),BlankTegn)</f>
        <v>0</v>
      </c>
      <c r="AK10" s="245" t="str">
        <f>IFERROR(IF(Tidstabel[[#This Row],[År]]&gt;Input_Tidshorisont,BlankTegn,
IF(Tidstabel[[#This Row],[År]]=0,Tidstabel[[#This Row],[KF_Anskaffelse]],AK9+Tidstabel[[#This Row],[KF_Anskaffelse]])),BlankTegn)</f>
        <v>.</v>
      </c>
      <c r="AL10" s="246" t="str">
        <f ca="1">IFERROR(IF(Tidstabel[[#This Row],[År]]&gt;Input_Tidshorisont,BlankTegn,
Tidstabel[[#This Row],[FB_Vedligehold]]+Tidstabel[[#This Row],[VS_Vedligehold]]+Tidstabel[[#This Row],[EI_Vedligehold]]+Tidstabel[[#This Row],[AP_Vedligehold]]+Tidstabel[[#This Row],[SK_Vedligehold]]),BlankTegn)</f>
        <v>.</v>
      </c>
      <c r="AM10" s="245" t="str">
        <f ca="1">IFERROR(IF(Tidstabel[[#This Row],[År]]&gt;Input_Tidshorisont,BlankTegn,
IF(Tidstabel[[#This Row],[År]]=0,Tidstabel[[#This Row],[KF_Vedligehold]],AM9+Tidstabel[[#This Row],[KF_Vedligehold]])),BlankTegn)</f>
        <v>.</v>
      </c>
      <c r="AN10"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10"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10" s="245" t="str">
        <f>IFERROR(IF(Tidstabel[[#This Row],[År]]&gt;Input_Tidshorisont,BlankTegn,
IF(Tidstabel[[#This Row],[År]]=0,Tidstabel[[#This Row],[KF_Udskiftning_Komponent]],AP9+Tidstabel[[#This Row],[KF_Udskiftning_Komponent]])),BlankTegn)</f>
        <v>.</v>
      </c>
      <c r="AQ10" s="245">
        <f>IF(Tidstabel[[#This Row],[År]]&gt;Input_Tidshorisont,BlankTegn,
IF(Tidstabel[[#This Row],[År]]=0,-SUM(Engangsudgifter[Udgift]),0))</f>
        <v>0</v>
      </c>
      <c r="AR10" s="245">
        <f>IFERROR(IF(Tidstabel[[#This Row],[År]]&gt;Input_Tidshorisont,BlankTegn,
IF(Tidstabel[[#This Row],[År]]=0,Tidstabel[[#This Row],[KF_Engangsudgifter]],AR9+Tidstabel[[#This Row],[KF_Engangsudgifter]])),BlankTegn)</f>
        <v>0</v>
      </c>
      <c r="AS10" s="315" t="str">
        <f>IFERROR(IF(Tidstabel[[#This Row],[År]]&gt;Input_Tidshorisont,BlankTegn,
-Energibesparelse_Årlig),BlankTegn)</f>
        <v>.</v>
      </c>
      <c r="AT10" s="245" t="str">
        <f>IFERROR(IF(Tidstabel[[#This Row],[År]]&gt;Input_Tidshorisont,BlankTegn,
IF(Tidstabel[[#This Row],[År]]=0,0,-Tidstabel[[#This Row],[KF_Energiforbrug]]*Input_Fjernvarmepris*((1+Tidstabel[[#This Row],[Kalkulationsrente]])^-Tidstabel[[#This Row],[År]])*((1+PrisudviklingFjernvarme)^Tidstabel[[#This Row],[År]]))),BlankTegn)</f>
        <v>.</v>
      </c>
      <c r="AU10" s="262" t="str">
        <f>IFERROR(IF(Tidstabel[[#This Row],[År]]&gt;Input_Tidshorisont,BlankTegn,
IF(Tidstabel[[#This Row],[År]]=0,Tidstabel[[#This Row],[KF_Forsyning]],AU9+Tidstabel[[#This Row],[KF_Forsyning]])),BlankTegn)</f>
        <v>.</v>
      </c>
      <c r="AV10" s="245">
        <f>IFERROR(IF(Tidstabel[[#This Row],[År]]&gt;Input_Tidshorisont,BlankTegn,
IF(Tidstabel[[#This Row],[År]]=0,-FB_Enhedspris,0)),BlankTegn)</f>
        <v>0</v>
      </c>
      <c r="AW10" s="245" t="str">
        <f>IFERROR(IF(Tidstabel[[#This Row],[År]]&gt;Input_Tidshorisont,BlankTegn,
IF(Tidstabel[[#This Row],[År]]=0,FB_Enhedspris/FB_Levetid,AW9*((1+Tidstabel[[#This Row],[Kalkulationsrente]])^-1)*((1+PrisudviklingGenerelt)^1))),BlankTegn)</f>
        <v>.</v>
      </c>
      <c r="AX10" s="178" t="str">
        <f ca="1">IFERROR(IF(Tidstabel[[#This Row],[År]]&gt;Input_Tidshorisont,BlankTegn,
IF(FB_Vedligehold_i=1,IF(Tidstabel[[#This Row],[FB_Uds?]]=0,1,0),IF(MAX(AX9:OFFSET(AY9,2-FB_Vedligehold_i,0),Tidstabel[[#This Row],[FB_Uds?]])=0,1,0))),BlankTegn)</f>
        <v>.</v>
      </c>
      <c r="AY10" s="178" t="str">
        <f>IFERROR(IF(Tidstabel[[#This Row],[År]]&gt;Input_Tidshorisont,BlankTegn,
IF(Tidstabel[[#This Row],[År]]=0,1,IF(MOD(Tidstabel[[#This Row],[År]],FB_Levetid)=0,1,IF(Tidstabel[[#This Row],[År]]=Input_Tidshorisont,0,0)))),BlankTegn)</f>
        <v>.</v>
      </c>
      <c r="AZ10" s="245" t="str">
        <f ca="1">IFERROR(IF(Tidstabel[[#This Row],[År]]&gt;Input_Tidshorisont,BlankTegn,
FB_Vedligehold_p*-FB_Enhedspris*Tidstabel[[#This Row],[FB_Ved?]]*((1+Tidstabel[[#This Row],[Kalkulationsrente]])^-Tidstabel[[#This Row],[År]])*((1+PrisudviklingGenerelt)^Tidstabel[[#This Row],[År]])),BlankTegn)</f>
        <v>.</v>
      </c>
      <c r="BA10" s="245" t="str">
        <f>IFERROR(IF(Tidstabel[[#This Row],[År]]&gt;Input_Tidshorisont,BlankTegn,
IF(Tidstabel[[#This Row],[År]]=0,FB_Enhedspris,SUM(BA9:BB9)*((1+Tidstabel[[#This Row],[Kalkulationsrente]])^-1)*((1+PrisudviklingGenerelt)^1)-Tidstabel[[#This Row],[FB_Afskrivning]])),BlankTegn)</f>
        <v>.</v>
      </c>
      <c r="BB10" s="245" t="str">
        <f>IFERROR(IF(Tidstabel[[#This Row],[År]]&gt;Input_Tidshorisont,BlankTegn,
IF(Tidstabel[[#This Row],[År]]=0,0,Tidstabel[[#This Row],[FB_Uds?]]*FB_Enhedspris*((1+Tidstabel[[#This Row],[Kalkulationsrente]])^-Tidstabel[[#This Row],[År]])*((1+PrisudviklingGenerelt)^Tidstabel[[#This Row],[År]]))),BlankTegn)</f>
        <v>.</v>
      </c>
      <c r="BC10" s="262" t="str">
        <f>IFERROR(IF(Tidstabel[[#This Row],[År]]&gt;Input_Tidshorisont,BlankTegn,
IF(Tidstabel[[#This Row],[År]]=0,0,Tidstabel[[#This Row],[FB_Uds?]]*-FB_Enhedspris*FB_Genoprettelse*((1+Tidstabel[[#This Row],[Kalkulationsrente]])^-Tidstabel[[#This Row],[År]])*((1+PrisudviklingGenerelt)^Tidstabel[[#This Row],[År]]))),BlankTegn)</f>
        <v>.</v>
      </c>
      <c r="BD10" s="245">
        <f>IFERROR(IF(Tidstabel[[#This Row],[År]]&gt;Input_Tidshorisont,BlankTegn,
IF(Tidstabel[[#This Row],[År]]=0,-VS_Enhedspris,0)),BlankTegn)</f>
        <v>0</v>
      </c>
      <c r="BE10" s="245" t="str">
        <f>IFERROR(IF(Tidstabel[[#This Row],[År]]&gt;Input_Tidshorisont,BlankTegn,
IF(Tidstabel[[#This Row],[År]]=0,VS_Enhedspris/VS_Levetid,BE9*((1+Tidstabel[[#This Row],[Kalkulationsrente]])^-1)*((1+PrisudviklingGenerelt)^1))),BlankTegn)</f>
        <v>.</v>
      </c>
      <c r="BF10" s="178" t="str">
        <f ca="1">IFERROR(IF(Tidstabel[[#This Row],[År]]&gt;Input_Tidshorisont,BlankTegn,
IF(VS_Vedligehold_i=1,IF(Tidstabel[[#This Row],[VS_Uds?]]=0,1,0),IF(MAX(BF9:OFFSET(BG9,2-VS_Vedligehold_i,0),Tidstabel[[#This Row],[VS_Uds?]])=0,1,0))),BlankTegn)</f>
        <v>.</v>
      </c>
      <c r="BG10" s="178" t="str">
        <f>IFERROR(IF(Tidstabel[[#This Row],[År]]&gt;Input_Tidshorisont,BlankTegn,
IF(Tidstabel[[#This Row],[År]]=0,1,IF(MOD(Tidstabel[[#This Row],[År]],VS_Levetid)=0,1,IF(Tidstabel[[#This Row],[År]]=Input_Tidshorisont,0,0)))),BlankTegn)</f>
        <v>.</v>
      </c>
      <c r="BH10" s="245" t="str">
        <f ca="1">IFERROR(IF(Tidstabel[[#This Row],[År]]&gt;Input_Tidshorisont,BlankTegn,
VS_Vedligehold_p*-VS_Enhedspris*Tidstabel[[#This Row],[VS_Ved?]]*((1+Tidstabel[[#This Row],[Kalkulationsrente]])^-Tidstabel[[#This Row],[År]])*((1+PrisudviklingGenerelt)^Tidstabel[[#This Row],[År]])),BlankTegn)</f>
        <v>.</v>
      </c>
      <c r="BI10" s="245" t="str">
        <f>IFERROR(IF(Tidstabel[[#This Row],[År]]&gt;Input_Tidshorisont,BlankTegn,
IF(Tidstabel[[#This Row],[År]]=0,VS_Enhedspris,SUM(BI9:BJ9)*((1+Tidstabel[[#This Row],[Kalkulationsrente]])^-1)*((1+PrisudviklingGenerelt)^1)-Tidstabel[[#This Row],[VS_Afskrivning]])),BlankTegn)</f>
        <v>.</v>
      </c>
      <c r="BJ10" s="245" t="str">
        <f>IFERROR(IF(Tidstabel[[#This Row],[År]]&gt;Input_Tidshorisont,BlankTegn,
IF(Tidstabel[[#This Row],[År]]=0,0,Tidstabel[[#This Row],[VS_Uds?]]*VS_Enhedspris*((1+Tidstabel[[#This Row],[Kalkulationsrente]])^-Tidstabel[[#This Row],[År]])*((1+PrisudviklingGenerelt)^Tidstabel[[#This Row],[År]]))),BlankTegn)</f>
        <v>.</v>
      </c>
      <c r="BK10" s="262" t="str">
        <f>IFERROR(IF(Tidstabel[[#This Row],[År]]&gt;Input_Tidshorisont,BlankTegn,
IF(Tidstabel[[#This Row],[År]]=0,0,Tidstabel[[#This Row],[VS_Uds?]]*-VS_Enhedspris*VS_Genoprettelse*((1+Tidstabel[[#This Row],[Kalkulationsrente]])^-Tidstabel[[#This Row],[År]])*((1+PrisudviklingGenerelt)^Tidstabel[[#This Row],[År]]))),BlankTegn)</f>
        <v>.</v>
      </c>
      <c r="BL10" s="245">
        <f>IFERROR(IF(Tidstabel[[#This Row],[År]]&gt;Input_Tidshorisont,BlankTegn,
IF(Tidstabel[[#This Row],[År]]=0,-EI_Enhedspris,0)),BlankTegn)</f>
        <v>0</v>
      </c>
      <c r="BM10" s="245" t="str">
        <f>IFERROR(IF(Tidstabel[[#This Row],[År]]&gt;Input_Tidshorisont,BlankTegn,
IF(Tidstabel[[#This Row],[År]]=0,EI_Enhedspris/EI_Levetid,BM9*((1+Tidstabel[[#This Row],[Kalkulationsrente]])^-1)*((1+PrisudviklingGenerelt)^1))),BlankTegn)</f>
        <v>.</v>
      </c>
      <c r="BN10" s="178" t="str">
        <f ca="1">IFERROR(IF(Tidstabel[[#This Row],[År]]&gt;Input_Tidshorisont,BlankTegn,
IF(EI_Vedligehold_i=1,IF(Tidstabel[[#This Row],[EI_Uds?]]=0,1,0),IF(MAX(BN9:OFFSET(BO9,2-EI_Vedligehold_i,0),Tidstabel[[#This Row],[EI_Uds?]])=0,1,0))),BlankTegn)</f>
        <v>.</v>
      </c>
      <c r="BO10" s="178" t="str">
        <f>IFERROR(IF(Tidstabel[[#This Row],[År]]&gt;Input_Tidshorisont,BlankTegn,
IF(Tidstabel[[#This Row],[År]]=0,1,IF(MOD(Tidstabel[[#This Row],[År]],EI_Levetid)=0,1,IF(Tidstabel[[#This Row],[År]]=Input_Tidshorisont,0,0)))),BlankTegn)</f>
        <v>.</v>
      </c>
      <c r="BP10" s="245" t="str">
        <f ca="1">IFERROR(IF(Tidstabel[[#This Row],[År]]&gt;Input_Tidshorisont,BlankTegn,
EI_Vedligehold_p*-EI_Enhedspris*Tidstabel[[#This Row],[EI_Ved?]]*((1+Tidstabel[[#This Row],[Kalkulationsrente]])^-Tidstabel[[#This Row],[År]])*((1+PrisudviklingGenerelt)^Tidstabel[[#This Row],[År]])),BlankTegn)</f>
        <v>.</v>
      </c>
      <c r="BQ10" s="245" t="str">
        <f>IFERROR(IF(Tidstabel[[#This Row],[År]]&gt;Input_Tidshorisont,BlankTegn,
IF(Tidstabel[[#This Row],[År]]=0,EI_Enhedspris,SUM(BQ9:BR9)*((1+Tidstabel[[#This Row],[Kalkulationsrente]])^-1)*((1+PrisudviklingGenerelt)^1)-Tidstabel[[#This Row],[EI_Afskrivning]])),BlankTegn)</f>
        <v>.</v>
      </c>
      <c r="BR10" s="245" t="str">
        <f>IFERROR(IF(Tidstabel[[#This Row],[År]]&gt;Input_Tidshorisont,BlankTegn,
IF(Tidstabel[[#This Row],[År]]=0,0,Tidstabel[[#This Row],[EI_Uds?]]*EI_Enhedspris*((1+Tidstabel[[#This Row],[Kalkulationsrente]])^-Tidstabel[[#This Row],[År]])*((1+PrisudviklingGenerelt)^Tidstabel[[#This Row],[År]]))),BlankTegn)</f>
        <v>.</v>
      </c>
      <c r="BS10" s="262" t="str">
        <f>IFERROR(IF(Tidstabel[[#This Row],[År]]&gt;Input_Tidshorisont,BlankTegn,
IF(Tidstabel[[#This Row],[År]]=0,0,Tidstabel[[#This Row],[EI_Uds?]]*-EI_Enhedspris*EI_Genoprettelse*((1+Tidstabel[[#This Row],[Kalkulationsrente]])^-Tidstabel[[#This Row],[År]])*((1+PrisudviklingGenerelt)^Tidstabel[[#This Row],[År]]))),BlankTegn)</f>
        <v>.</v>
      </c>
      <c r="BT10" s="245">
        <f>IFERROR(IF(Tidstabel[[#This Row],[År]]&gt;Input_Tidshorisont,BlankTegn,
IF(Tidstabel[[#This Row],[År]]=0,-AP_Enhedspris,0)),BlankTegn)</f>
        <v>0</v>
      </c>
      <c r="BU10" s="245" t="str">
        <f>IFERROR(IF(Tidstabel[[#This Row],[År]]&gt;Input_Tidshorisont,BlankTegn,
IF(Tidstabel[[#This Row],[År]]=0,AP_Enhedspris/AP_Levetid,BU9*((1+Tidstabel[[#This Row],[Kalkulationsrente]])^-1)*((1+PrisudviklingGenerelt)^1))),BlankTegn)</f>
        <v>.</v>
      </c>
      <c r="BV10" s="178" t="str">
        <f ca="1">IFERROR(IF(Tidstabel[[#This Row],[År]]&gt;Input_Tidshorisont,BlankTegn,
IF(AP_Vedligehold_i=1,IF(Tidstabel[[#This Row],[AP_Uds?]]=0,1,0),IF(MAX(BV9:OFFSET(BW9,2-AP_Vedligehold_i,0),Tidstabel[[#This Row],[AP_Uds?]])=0,1,0))),BlankTegn)</f>
        <v>.</v>
      </c>
      <c r="BW10" s="178" t="str">
        <f>IFERROR(IF(Tidstabel[[#This Row],[År]]&gt;Input_Tidshorisont,BlankTegn,
IF(Tidstabel[[#This Row],[År]]=0,1,IF(MOD(Tidstabel[[#This Row],[År]],AP_Levetid)=0,1,IF(Tidstabel[[#This Row],[År]]=Input_Tidshorisont,0,0)))),BlankTegn)</f>
        <v>.</v>
      </c>
      <c r="BX10" s="245" t="str">
        <f ca="1">IFERROR(IF(Tidstabel[[#This Row],[År]]&gt;Input_Tidshorisont,BlankTegn,
AP_Vedligehold_p*-AP_Enhedspris*Tidstabel[[#This Row],[AP_Ved?]]*((1+Tidstabel[[#This Row],[Kalkulationsrente]])^-Tidstabel[[#This Row],[År]])*((1+PrisudviklingGenerelt)^Tidstabel[[#This Row],[År]])),BlankTegn)</f>
        <v>.</v>
      </c>
      <c r="BY10" s="245" t="str">
        <f>IFERROR(IF(Tidstabel[[#This Row],[År]]&gt;Input_Tidshorisont,BlankTegn,
IF(Tidstabel[[#This Row],[År]]=0,AP_Enhedspris,SUM(BY9:BZ9)*((1+Tidstabel[[#This Row],[Kalkulationsrente]])^-1)*((1+PrisudviklingGenerelt)^1)-Tidstabel[[#This Row],[AP_Afskrivning]])),BlankTegn)</f>
        <v>.</v>
      </c>
      <c r="BZ10" s="245" t="str">
        <f>IFERROR(IF(Tidstabel[[#This Row],[År]]&gt;Input_Tidshorisont,BlankTegn,
IF(Tidstabel[[#This Row],[År]]=0,0,Tidstabel[[#This Row],[AP_Uds?]]*AP_Enhedspris*((1+Tidstabel[[#This Row],[Kalkulationsrente]])^-Tidstabel[[#This Row],[År]])*((1+PrisudviklingGenerelt)^Tidstabel[[#This Row],[År]]))),BlankTegn)</f>
        <v>.</v>
      </c>
      <c r="CA10" s="262" t="str">
        <f>IFERROR(IF(Tidstabel[[#This Row],[År]]&gt;Input_Tidshorisont,BlankTegn,
IF(Tidstabel[[#This Row],[År]]=0,0,Tidstabel[[#This Row],[AP_Uds?]]*-AP_Enhedspris*AP_Genoprettelse*((1+Tidstabel[[#This Row],[Kalkulationsrente]])^-Tidstabel[[#This Row],[År]])*((1+PrisudviklingGenerelt)^Tidstabel[[#This Row],[År]]))),BlankTegn)</f>
        <v>.</v>
      </c>
      <c r="CB10" s="245">
        <f>IFERROR(IF(Tidstabel[[#This Row],[År]]&gt;Input_Tidshorisont,BlankTegn,
IF(Tidstabel[[#This Row],[År]]=0,-SK_Enhedspris,0)),BlankTegn)</f>
        <v>0</v>
      </c>
      <c r="CC10" s="245" t="str">
        <f>IFERROR(IF(Tidstabel[[#This Row],[År]]&gt;Input_Tidshorisont,BlankTegn,
IF(Tidstabel[[#This Row],[År]]=0,SK_Enhedspris/SK_Levetid,CC9*((1+Tidstabel[[#This Row],[Kalkulationsrente]])^-1)*((1+PrisudviklingGenerelt)^1))),BlankTegn)</f>
        <v>.</v>
      </c>
      <c r="CD10" s="178" t="str">
        <f ca="1">IFERROR(IF(Tidstabel[[#This Row],[År]]&gt;Input_Tidshorisont,BlankTegn,
IF(SK_Vedligehold_i=1,IF(Tidstabel[[#This Row],[SK_Uds?]]=0,1,0),IF(MAX(CD9:OFFSET(CE9,2-SK_Vedligehold_i,0),Tidstabel[[#This Row],[SK_Uds?]])=0,1,0))),BlankTegn)</f>
        <v>.</v>
      </c>
      <c r="CE10" s="178" t="str">
        <f>IFERROR(IF(Tidstabel[[#This Row],[År]]&gt;Input_Tidshorisont,BlankTegn,
IF(Tidstabel[[#This Row],[År]]=0,1,IF(MOD(Tidstabel[[#This Row],[År]],SK_Levetid)=0,1,IF(Tidstabel[[#This Row],[År]]=Input_Tidshorisont,0,0)))),BlankTegn)</f>
        <v>.</v>
      </c>
      <c r="CF10" s="245" t="str">
        <f ca="1">IFERROR(IF(Tidstabel[[#This Row],[År]]&gt;Input_Tidshorisont,BlankTegn,
SK_Vedligehold_p*-SK_Enhedspris*Tidstabel[[#This Row],[SK_Ved?]]*((1+Tidstabel[[#This Row],[Kalkulationsrente]])^-Tidstabel[[#This Row],[År]])*((1+PrisudviklingGenerelt)^Tidstabel[[#This Row],[År]])),BlankTegn)</f>
        <v>.</v>
      </c>
      <c r="CG10" s="245" t="str">
        <f>IFERROR(IF(Tidstabel[[#This Row],[År]]&gt;Input_Tidshorisont,BlankTegn,
IF(Tidstabel[[#This Row],[År]]=0,SK_Enhedspris,SUM(CG9:CH9)*((1+Tidstabel[[#This Row],[Kalkulationsrente]])^-1)*((1+PrisudviklingGenerelt)^1)-Tidstabel[[#This Row],[SK_Afskrivning]])),BlankTegn)</f>
        <v>.</v>
      </c>
      <c r="CH10" s="245" t="str">
        <f>IFERROR(IF(Tidstabel[[#This Row],[År]]&gt;Input_Tidshorisont,BlankTegn,
IF(Tidstabel[[#This Row],[År]]=0,0,Tidstabel[[#This Row],[SK_Uds?]]*SK_Enhedspris*((1+Tidstabel[[#This Row],[Kalkulationsrente]])^-Tidstabel[[#This Row],[År]])*((1+PrisudviklingGenerelt)^Tidstabel[[#This Row],[År]]))),BlankTegn)</f>
        <v>.</v>
      </c>
      <c r="CI10" s="262" t="str">
        <f>IFERROR(IF(Tidstabel[[#This Row],[År]]&gt;Input_Tidshorisont,BlankTegn,
IF(Tidstabel[[#This Row],[År]]=0,0,Tidstabel[[#This Row],[SK_Uds?]]*-SK_Enhedspris*SK_Genoprettelse*((1+Tidstabel[[#This Row],[Kalkulationsrente]])^-Tidstabel[[#This Row],[År]])*((1+PrisudviklingGenerelt)^Tidstabel[[#This Row],[År]]))),BlankTegn)</f>
        <v>.</v>
      </c>
      <c r="CJ10" s="19"/>
    </row>
    <row r="11" spans="1:88">
      <c r="A11" s="250">
        <v>4</v>
      </c>
      <c r="B11" s="250">
        <f>Input_Etableringsår+Tidstabel[[#This Row],[År]]</f>
        <v>2028</v>
      </c>
      <c r="C11" s="274" cm="1">
        <f t="array" ref="C11">_xlfn.IFS(Tidstabel[[#This Row],[År]]&gt;KR_Trin3_Tærskel,KR_Trin3_Rente,Tidstabel[[#This Row],[År]]&gt;KR_Trin2_Tærskel,KR_Trin2_Rente,Tidstabel[[#This Row],[År]]&gt;KR_Trin1_Tærskel,KR_Trin1_Rente,Tidstabel[[#This Row],[År]]&gt;KR_Trin0_Tærskel,KR_Trin0_Rente)</f>
        <v>3.5000000000000003E-2</v>
      </c>
      <c r="D11" s="142" t="str" cm="1">
        <f t="array" ref="D11">IFERROR(
INDEX(Range_Materiale_ÅrligeEmissioner,MATCH(1,(Materialedata[Komponent]=FB_Titel)*(Materialedata[Materiale]=FB_Materiale),0),MATCH(Tidstabel[[#This Row],[År]],Range_Materiale_År,0)),BlankTegn)</f>
        <v>.</v>
      </c>
      <c r="E11" s="142" t="str" cm="1">
        <f t="array" ref="E11">IFERROR(
INDEX(Range_Materiale_ÅrligeEmissioner,MATCH(1,(Materialedata[Komponent]=SK_Titel)*(Materialedata[Materiale]=SK_Materiale),0),MATCH(Tidstabel[[#This Row],[År]],Range_Materiale_År,0)),BlankTegn)</f>
        <v>.</v>
      </c>
      <c r="F11" s="142" t="str" cm="1">
        <f t="array" ref="F11">IFERROR(
INDEX(Range_Materiale_ÅrligeEmissioner,MATCH(1,(Materialedata[Komponent]=EI_Titel)*(Materialedata[Materiale]=EI_Materiale),0),MATCH(Tidstabel[[#This Row],[År]],Range_Materiale_År,0)),BlankTegn)</f>
        <v>.</v>
      </c>
      <c r="G11" s="142" t="str" cm="1">
        <f t="array" ref="G11">IFERROR(
INDEX(Range_Materiale_ÅrligeEmissioner,MATCH(1,(Materialedata[Komponent]=AP_Titel)*(Materialedata[Materiale]=AP_Materiale),0),MATCH(Tidstabel[[#This Row],[År]],Range_Materiale_År,0)),BlankTegn)</f>
        <v>.</v>
      </c>
      <c r="H11" s="142" t="str" cm="1">
        <f t="array" ref="H11">IFERROR(
INDEX(Range_Materiale_ÅrligeEmissioner,MATCH(1,(Materialedata[Komponent]=VS_Titel)*(Materialedata[Materiale]=VS_Materiale),0),MATCH(Tidstabel[[#This Row],[År]],Range_Materiale_År,0)),BlankTegn)</f>
        <v>.</v>
      </c>
      <c r="I11" s="142" t="str">
        <f>IFERROR(
IF(SUM(Tidstabel[[#This Row],[Facadebeklædning]:[Vindspærre]])=0,BlankTegn,
SUM(Tidstabel[[#This Row],[Facadebeklædning]:[Vindspærre]])),BlankTegn)</f>
        <v>.</v>
      </c>
      <c r="J11" s="139">
        <f>IF(Tidstabel[[#This Row],[År]]&gt;Input_Tidshorisont,BlankTegn,
A5_ElVarmeBrændstofByggeplads)</f>
        <v>0.25</v>
      </c>
      <c r="K11" s="142" t="str">
        <f>IFERROR(IF(Tidstabel[[#This Row],[År]]&gt;Input_Tidshorisont,BlankTegn,
-1*INDEX(Range_Energi_ÅrligBesparelse,MATCH(Input_EksisterendeFacade,Energiberegning[Ydervæg],0),MATCH(Tidstabel[[#This Row],[Årstal]],Range_Energi_Årstal,0))),BlankTegn)</f>
        <v>.</v>
      </c>
      <c r="L11" s="142">
        <f>IF(Tidstabel[[#This Row],[År]]&gt;Input_Tidshorisont,BlankTegn,
(Tidstabel[[#This Row],[År]]+1)*(SUM(Vedligeholdelsesmaterialer[Facadefarve],Vedligeholdelsesmaterialer[Grunder og mellemmaling])/12+SUM(Vedligeholdelsesmaterialer[Puds])/30))</f>
        <v>1.6242714291666664</v>
      </c>
      <c r="M11" s="142" t="str">
        <f>IFERROR(IF(Tidstabel[[#This Row],[År]]&gt;Input_Tidshorisont,BlankTegn,
Tidstabel[[#This Row],[Materialer_Total]]+Tidstabel[[#This Row],[Byggeprocess]]),BlankTegn)</f>
        <v>.</v>
      </c>
      <c r="N11" s="142" t="str">
        <f>IFERROR(IF(Tidstabel[[#This Row],[År]]&gt;Input_Tidshorisont,BlankTegn,
Tidstabel[[#This Row],[Energibesparelse]]+Tidstabel[[#This Row],[Emission_Brutto]]),BlankTegn)</f>
        <v>.</v>
      </c>
      <c r="O11" s="142" t="str">
        <f>IFERROR(IF(Tidstabel[[#This Row],[År]]&gt;Input_Tidshorisont,BlankTegn,
Tidstabel[[#This Row],[Emission_Netto]]-Tidstabel[[#This Row],[Vedligehold_EksisterendeFacade]]),BlankTegn)</f>
        <v>.</v>
      </c>
      <c r="P11" s="271" t="str">
        <f>IFERROR(IF(Tidstabel[[#This Row],[År]]&gt;Input_Tidshorisont,BlankTegn,
IF(AND(Tidstabel[[#This Row],[Emission_Netto]]-Tidstabel[[#This Row],[Vedligehold_EksisterendeFacade]]&gt;0,N12-L12&lt;0),-1,IF(AND(Tidstabel[[#This Row],[Emission_Netto]]-Tidstabel[[#This Row],[Vedligehold_EksisterendeFacade]]&lt;0,N12-L12&gt;0),1,0))),BlankTegn)</f>
        <v>.</v>
      </c>
      <c r="Q11" s="174" t="str">
        <f>IF(Tidstabel[[#This Row],[År]]&gt;Input_Tidshorisont,BlankTegn,
IF(Tidstabel[[#This Row],[LCA-Skæring]]=-1,SUM(Tidstabel[[#This Row],[År]]*(1-ABS(Tidstabel[[#This Row],[LCA-Difference]])/(ABS(Tidstabel[[#This Row],[LCA-Difference]])+ABS(O12))),A12*(1-ABS(O12)/(ABS(Tidstabel[[#This Row],[LCA-Difference]])+ABS(O12)))),"-"))</f>
        <v>-</v>
      </c>
      <c r="R11" s="174" t="str">
        <f>IF(Tidstabel[[#This Row],[År]]&gt;Input_Tidshorisont,BlankTegn,
IF(Tidstabel[[#This Row],[LCA-Skæring]]=-1,SUM(Tidstabel[[#This Row],[Emission_Netto]]*(1-ABS(Tidstabel[[#This Row],[LCA-Difference]])/(ABS(Tidstabel[[#This Row],[LCA-Difference]])+ABS(O12))),N12*(1-ABS(O12)/(ABS(Tidstabel[[#This Row],[LCA-Difference]])+ABS(O12)))),"-"))</f>
        <v>-</v>
      </c>
      <c r="S11" s="174" t="str">
        <f>IF(Tidstabel[[#This Row],[År]]&gt;Input_Tidshorisont,BlankTegn,
IF(Tidstabel[[#This Row],[LCA-Skæring]]=1,SUM(Tidstabel[[#This Row],[År]]*(1-ABS(Tidstabel[[#This Row],[LCA-Difference]])/(ABS(Tidstabel[[#This Row],[LCA-Difference]])+ABS(O12))),A12*(1-ABS(O12)/(ABS(Tidstabel[[#This Row],[LCA-Difference]])+ABS(O12)))),"-"))</f>
        <v>-</v>
      </c>
      <c r="T11" s="264" t="str">
        <f>IF(Tidstabel[[#This Row],[År]]&gt;Input_Tidshorisont,BlankTegn,
IF(Tidstabel[[#This Row],[LCA-Skæring]]=1,SUM(Tidstabel[[#This Row],[Emission_Netto]]*(1-ABS(Tidstabel[[#This Row],[LCA-Difference]])/(ABS(Tidstabel[[#This Row],[LCA-Difference]])+ABS(O12))),N12*(1-ABS(O12)/(ABS(Tidstabel[[#This Row],[LCA-Difference]])+ABS(O12)))),"-"))</f>
        <v>-</v>
      </c>
      <c r="U11" s="142" t="str">
        <f ca="1">IFERROR(IF(Tidstabel[[#This Row],[År]]&gt;Input_Tidshorisont,BlankTegn,
Tidstabel[[#This Row],[NPV_Klimafacade]]-Tidstabel[[#This Row],[NPV_Eksisterende]]),BlankTegn)</f>
        <v>.</v>
      </c>
      <c r="V11" s="271" t="str">
        <f ca="1">IFERROR(IF(Tidstabel[[#This Row],[År]]&gt;Input_Tidshorisont,BlankTegn,
IF(AND(Tidstabel[[#This Row],[NPV_Klimafacade]]-Tidstabel[[#This Row],[NPV_Eksisterende]]&gt;0,AB12-AA12&lt;0),1,IF(AND(Tidstabel[[#This Row],[NPV_Klimafacade]]-Tidstabel[[#This Row],[NPV_Eksisterende]]&lt;0,AB12-AA12&gt;0),-1,0))),BlankTegn)</f>
        <v>.</v>
      </c>
      <c r="W11" s="174" t="str">
        <f ca="1">IF(Tidstabel[[#This Row],[År]]&gt;Input_Tidshorisont,BlankTegn,
IF(Tidstabel[[#This Row],[LCC-Skæring]]=-1,SUM(Tidstabel[[#This Row],[År]]*(1-ABS(Tidstabel[[#This Row],[LCC-Difference]])/(ABS(Tidstabel[[#This Row],[LCC-Difference]])+ABS(U12))),A12*(1-ABS(U12)/(ABS(Tidstabel[[#This Row],[LCC-Difference]])+ABS(U12)))),"-"))</f>
        <v>-</v>
      </c>
      <c r="X11" s="174" t="str">
        <f ca="1">IF(Tidstabel[[#This Row],[År]]&gt;Input_Tidshorisont,BlankTegn,
IF(Tidstabel[[#This Row],[LCC-Skæring]]=-1,SUM(Tidstabel[[#This Row],[NPV_Klimafacade]]*(1-ABS(Tidstabel[[#This Row],[LCC-Difference]])/(ABS(Tidstabel[[#This Row],[LCC-Difference]])+ABS(U12))),AB12*(1-ABS(U12)/(ABS(Tidstabel[[#This Row],[LCC-Difference]])+ABS(U12)))),"-"))</f>
        <v>-</v>
      </c>
      <c r="Y11" s="174" t="str">
        <f ca="1">IF(Tidstabel[[#This Row],[År]]&gt;Input_Tidshorisont,BlankTegn,
IF(Tidstabel[[#This Row],[LCC-Skæring]]=1,SUM(Tidstabel[[#This Row],[År]]*(1-ABS(Tidstabel[[#This Row],[LCC-Difference]])/(ABS(Tidstabel[[#This Row],[LCC-Difference]])+ABS(U12))),A12*(1-ABS(U12)/(ABS(Tidstabel[[#This Row],[LCC-Difference]])+ABS(U12)))),"-"))</f>
        <v>-</v>
      </c>
      <c r="Z11" s="264" t="str">
        <f ca="1">IF(Tidstabel[[#This Row],[År]]&gt;Input_Tidshorisont,BlankTegn,
IF(Tidstabel[[#This Row],[LCC-Skæring]]=1,SUM(Tidstabel[[#This Row],[NPV_Klimafacade]]*(1-ABS(Tidstabel[[#This Row],[LCC-Difference]])/(ABS(Tidstabel[[#This Row],[LCC-Difference]])+ABS(U12))),AB12*(1-ABS(U12)/(ABS(Tidstabel[[#This Row],[LCC-Difference]])+ABS(U12)))),"-"))</f>
        <v>-</v>
      </c>
      <c r="AA11" s="142">
        <f ca="1">IF(Tidstabel[[#This Row],[År]]&gt;Input_Tidshorisont,BlankTegn,
Tidstabel[[#This Row],[EF_Vedligehold_Aggregeret]])</f>
        <v>-49.760272169108831</v>
      </c>
      <c r="AB11"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11" s="142" t="str">
        <f>IFERROR(IF(Tidstabel[[#This Row],[År]]&gt;Input_Tidshorisont,BlankTegn,
Tidstabel[[#This Row],[KF_Anskaffelse_Aggregeret]]+Tidstabel[[#This Row],[KF_Engangsudgifter_Aggregeret]]),BlankTegn)</f>
        <v>.</v>
      </c>
      <c r="AD11" s="174">
        <f ca="1">IFERROR(IF(Tidstabel[[#This Row],[År]]&gt;Input_Tidshorisont,BlankTegn,
IF(Tidstabel[[#This Row],[År]]=0,0,Tidstabel[[#This Row],[NPV_Eksisterende]]*(Tidstabel[[#This Row],[Kalkulationsrente]]/(1-(1+Tidstabel[[#This Row],[Kalkulationsrente]])^-Tidstabel[[#This Row],[År]])))),BlankTegn)</f>
        <v>-13.54729079962028</v>
      </c>
      <c r="AE11" s="264" t="str">
        <f ca="1">IFERROR(IF(Tidstabel[[#This Row],[År]]&gt;Input_Tidshorisont,BlankTegn,
IF(Tidstabel[[#This Row],[År]]=0,0,Tidstabel[[#This Row],[NPV_Klimafacade]]*(Tidstabel[[#This Row],[Kalkulationsrente]]/(1-(1+Tidstabel[[#This Row],[Kalkulationsrente]])^-Tidstabel[[#This Row],[År]])))),BlankTegn)</f>
        <v>.</v>
      </c>
      <c r="AF11" s="270">
        <f ca="1">IF(Tidstabel[[#This Row],[År]]&gt;Input_Tidshorisont,BlankTegn,
IF(EF_Vedligehold_i=1,IF(Tidstabel[[#This Row],[EF_Uds?]]=0,1,0),IF(MAX(AF10:OFFSET(AG10,2-EF_Vedligehold_i,0),Tidstabel[[#This Row],[EF_Uds?]])=0,1,0)))</f>
        <v>1</v>
      </c>
      <c r="AG11" s="181">
        <f>IF(Tidstabel[[#This Row],[År]]&gt;Input_Tidshorisont,BlankTegn,0)</f>
        <v>0</v>
      </c>
      <c r="AH11" s="263">
        <f ca="1">IF(Tidstabel[[#This Row],[År]]&gt;Input_Tidshorisont,BlankTegn,
Tidstabel[[#This Row],[EF_Ved?]]*EF_Vedligehold_p*-EF_Enhedspris*((1+Tidstabel[[#This Row],[Kalkulationsrente]])^-Tidstabel[[#This Row],[År]])*((1+PrisudviklingGenerelt)^Tidstabel[[#This Row],[År]]))</f>
        <v>-9.279363882816174</v>
      </c>
      <c r="AI11" s="262">
        <f ca="1">IF(Tidstabel[[#This Row],[År]]&gt;Input_Tidshorisont,BlankTegn,
IF(Tidstabel[[#This Row],[År]]=0,Tidstabel[[#This Row],[EF_Vedligehold]],AI10+Tidstabel[[#This Row],[EF_Vedligehold]]))</f>
        <v>-49.760272169108831</v>
      </c>
      <c r="AJ11" s="245">
        <f>IFERROR(IF(Tidstabel[[#This Row],[År]]&gt;Input_Tidshorisont,BlankTegn,
Tidstabel[[#This Row],[FB_Anskaffelse]]+Tidstabel[[#This Row],[VS_Anskaffelse]]+Tidstabel[[#This Row],[EI_Anskaffelse]]+Tidstabel[[#This Row],[AP_Anskaffelse]]+Tidstabel[[#This Row],[SK_Anskaffelse]]),BlankTegn)</f>
        <v>0</v>
      </c>
      <c r="AK11" s="245" t="str">
        <f>IFERROR(IF(Tidstabel[[#This Row],[År]]&gt;Input_Tidshorisont,BlankTegn,
IF(Tidstabel[[#This Row],[År]]=0,Tidstabel[[#This Row],[KF_Anskaffelse]],AK10+Tidstabel[[#This Row],[KF_Anskaffelse]])),BlankTegn)</f>
        <v>.</v>
      </c>
      <c r="AL11" s="246" t="str">
        <f ca="1">IFERROR(IF(Tidstabel[[#This Row],[År]]&gt;Input_Tidshorisont,BlankTegn,
Tidstabel[[#This Row],[FB_Vedligehold]]+Tidstabel[[#This Row],[VS_Vedligehold]]+Tidstabel[[#This Row],[EI_Vedligehold]]+Tidstabel[[#This Row],[AP_Vedligehold]]+Tidstabel[[#This Row],[SK_Vedligehold]]),BlankTegn)</f>
        <v>.</v>
      </c>
      <c r="AM11" s="245" t="str">
        <f ca="1">IFERROR(IF(Tidstabel[[#This Row],[År]]&gt;Input_Tidshorisont,BlankTegn,
IF(Tidstabel[[#This Row],[År]]=0,Tidstabel[[#This Row],[KF_Vedligehold]],AM10+Tidstabel[[#This Row],[KF_Vedligehold]])),BlankTegn)</f>
        <v>.</v>
      </c>
      <c r="AN11"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11"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11" s="245" t="str">
        <f>IFERROR(IF(Tidstabel[[#This Row],[År]]&gt;Input_Tidshorisont,BlankTegn,
IF(Tidstabel[[#This Row],[År]]=0,Tidstabel[[#This Row],[KF_Udskiftning_Komponent]],AP10+Tidstabel[[#This Row],[KF_Udskiftning_Komponent]])),BlankTegn)</f>
        <v>.</v>
      </c>
      <c r="AQ11" s="245">
        <f>IF(Tidstabel[[#This Row],[År]]&gt;Input_Tidshorisont,BlankTegn,
IF(Tidstabel[[#This Row],[År]]=0,-SUM(Engangsudgifter[Udgift]),0))</f>
        <v>0</v>
      </c>
      <c r="AR11" s="245">
        <f>IFERROR(IF(Tidstabel[[#This Row],[År]]&gt;Input_Tidshorisont,BlankTegn,
IF(Tidstabel[[#This Row],[År]]=0,Tidstabel[[#This Row],[KF_Engangsudgifter]],AR10+Tidstabel[[#This Row],[KF_Engangsudgifter]])),BlankTegn)</f>
        <v>0</v>
      </c>
      <c r="AS11" s="315" t="str">
        <f>IFERROR(IF(Tidstabel[[#This Row],[År]]&gt;Input_Tidshorisont,BlankTegn,
-Energibesparelse_Årlig),BlankTegn)</f>
        <v>.</v>
      </c>
      <c r="AT11" s="245" t="str">
        <f>IFERROR(IF(Tidstabel[[#This Row],[År]]&gt;Input_Tidshorisont,BlankTegn,
IF(Tidstabel[[#This Row],[År]]=0,0,-Tidstabel[[#This Row],[KF_Energiforbrug]]*Input_Fjernvarmepris*((1+Tidstabel[[#This Row],[Kalkulationsrente]])^-Tidstabel[[#This Row],[År]])*((1+PrisudviklingFjernvarme)^Tidstabel[[#This Row],[År]]))),BlankTegn)</f>
        <v>.</v>
      </c>
      <c r="AU11" s="262" t="str">
        <f>IFERROR(IF(Tidstabel[[#This Row],[År]]&gt;Input_Tidshorisont,BlankTegn,
IF(Tidstabel[[#This Row],[År]]=0,Tidstabel[[#This Row],[KF_Forsyning]],AU10+Tidstabel[[#This Row],[KF_Forsyning]])),BlankTegn)</f>
        <v>.</v>
      </c>
      <c r="AV11" s="245">
        <f>IFERROR(IF(Tidstabel[[#This Row],[År]]&gt;Input_Tidshorisont,BlankTegn,
IF(Tidstabel[[#This Row],[År]]=0,-FB_Enhedspris,0)),BlankTegn)</f>
        <v>0</v>
      </c>
      <c r="AW11" s="245" t="str">
        <f>IFERROR(IF(Tidstabel[[#This Row],[År]]&gt;Input_Tidshorisont,BlankTegn,
IF(Tidstabel[[#This Row],[År]]=0,FB_Enhedspris/FB_Levetid,AW10*((1+Tidstabel[[#This Row],[Kalkulationsrente]])^-1)*((1+PrisudviklingGenerelt)^1))),BlankTegn)</f>
        <v>.</v>
      </c>
      <c r="AX11" s="178" t="str">
        <f ca="1">IFERROR(IF(Tidstabel[[#This Row],[År]]&gt;Input_Tidshorisont,BlankTegn,
IF(FB_Vedligehold_i=1,IF(Tidstabel[[#This Row],[FB_Uds?]]=0,1,0),IF(MAX(AX10:OFFSET(AY10,2-FB_Vedligehold_i,0),Tidstabel[[#This Row],[FB_Uds?]])=0,1,0))),BlankTegn)</f>
        <v>.</v>
      </c>
      <c r="AY11" s="178" t="str">
        <f>IFERROR(IF(Tidstabel[[#This Row],[År]]&gt;Input_Tidshorisont,BlankTegn,
IF(Tidstabel[[#This Row],[År]]=0,1,IF(MOD(Tidstabel[[#This Row],[År]],FB_Levetid)=0,1,IF(Tidstabel[[#This Row],[År]]=Input_Tidshorisont,0,0)))),BlankTegn)</f>
        <v>.</v>
      </c>
      <c r="AZ11" s="245" t="str">
        <f ca="1">IFERROR(IF(Tidstabel[[#This Row],[År]]&gt;Input_Tidshorisont,BlankTegn,
FB_Vedligehold_p*-FB_Enhedspris*Tidstabel[[#This Row],[FB_Ved?]]*((1+Tidstabel[[#This Row],[Kalkulationsrente]])^-Tidstabel[[#This Row],[År]])*((1+PrisudviklingGenerelt)^Tidstabel[[#This Row],[År]])),BlankTegn)</f>
        <v>.</v>
      </c>
      <c r="BA11" s="245" t="str">
        <f>IFERROR(IF(Tidstabel[[#This Row],[År]]&gt;Input_Tidshorisont,BlankTegn,
IF(Tidstabel[[#This Row],[År]]=0,FB_Enhedspris,SUM(BA10:BB10)*((1+Tidstabel[[#This Row],[Kalkulationsrente]])^-1)*((1+PrisudviklingGenerelt)^1)-Tidstabel[[#This Row],[FB_Afskrivning]])),BlankTegn)</f>
        <v>.</v>
      </c>
      <c r="BB11" s="245" t="str">
        <f>IFERROR(IF(Tidstabel[[#This Row],[År]]&gt;Input_Tidshorisont,BlankTegn,
IF(Tidstabel[[#This Row],[År]]=0,0,Tidstabel[[#This Row],[FB_Uds?]]*FB_Enhedspris*((1+Tidstabel[[#This Row],[Kalkulationsrente]])^-Tidstabel[[#This Row],[År]])*((1+PrisudviklingGenerelt)^Tidstabel[[#This Row],[År]]))),BlankTegn)</f>
        <v>.</v>
      </c>
      <c r="BC11" s="262" t="str">
        <f>IFERROR(IF(Tidstabel[[#This Row],[År]]&gt;Input_Tidshorisont,BlankTegn,
IF(Tidstabel[[#This Row],[År]]=0,0,Tidstabel[[#This Row],[FB_Uds?]]*-FB_Enhedspris*FB_Genoprettelse*((1+Tidstabel[[#This Row],[Kalkulationsrente]])^-Tidstabel[[#This Row],[År]])*((1+PrisudviklingGenerelt)^Tidstabel[[#This Row],[År]]))),BlankTegn)</f>
        <v>.</v>
      </c>
      <c r="BD11" s="245">
        <f>IFERROR(IF(Tidstabel[[#This Row],[År]]&gt;Input_Tidshorisont,BlankTegn,
IF(Tidstabel[[#This Row],[År]]=0,-VS_Enhedspris,0)),BlankTegn)</f>
        <v>0</v>
      </c>
      <c r="BE11" s="245" t="str">
        <f>IFERROR(IF(Tidstabel[[#This Row],[År]]&gt;Input_Tidshorisont,BlankTegn,
IF(Tidstabel[[#This Row],[År]]=0,VS_Enhedspris/VS_Levetid,BE10*((1+Tidstabel[[#This Row],[Kalkulationsrente]])^-1)*((1+PrisudviklingGenerelt)^1))),BlankTegn)</f>
        <v>.</v>
      </c>
      <c r="BF11" s="178" t="str">
        <f ca="1">IFERROR(IF(Tidstabel[[#This Row],[År]]&gt;Input_Tidshorisont,BlankTegn,
IF(VS_Vedligehold_i=1,IF(Tidstabel[[#This Row],[VS_Uds?]]=0,1,0),IF(MAX(BF10:OFFSET(BG10,2-VS_Vedligehold_i,0),Tidstabel[[#This Row],[VS_Uds?]])=0,1,0))),BlankTegn)</f>
        <v>.</v>
      </c>
      <c r="BG11" s="178" t="str">
        <f>IFERROR(IF(Tidstabel[[#This Row],[År]]&gt;Input_Tidshorisont,BlankTegn,
IF(Tidstabel[[#This Row],[År]]=0,1,IF(MOD(Tidstabel[[#This Row],[År]],VS_Levetid)=0,1,IF(Tidstabel[[#This Row],[År]]=Input_Tidshorisont,0,0)))),BlankTegn)</f>
        <v>.</v>
      </c>
      <c r="BH11" s="245" t="str">
        <f ca="1">IFERROR(IF(Tidstabel[[#This Row],[År]]&gt;Input_Tidshorisont,BlankTegn,
VS_Vedligehold_p*-VS_Enhedspris*Tidstabel[[#This Row],[VS_Ved?]]*((1+Tidstabel[[#This Row],[Kalkulationsrente]])^-Tidstabel[[#This Row],[År]])*((1+PrisudviklingGenerelt)^Tidstabel[[#This Row],[År]])),BlankTegn)</f>
        <v>.</v>
      </c>
      <c r="BI11" s="245" t="str">
        <f>IFERROR(IF(Tidstabel[[#This Row],[År]]&gt;Input_Tidshorisont,BlankTegn,
IF(Tidstabel[[#This Row],[År]]=0,VS_Enhedspris,SUM(BI10:BJ10)*((1+Tidstabel[[#This Row],[Kalkulationsrente]])^-1)*((1+PrisudviklingGenerelt)^1)-Tidstabel[[#This Row],[VS_Afskrivning]])),BlankTegn)</f>
        <v>.</v>
      </c>
      <c r="BJ11" s="245" t="str">
        <f>IFERROR(IF(Tidstabel[[#This Row],[År]]&gt;Input_Tidshorisont,BlankTegn,
IF(Tidstabel[[#This Row],[År]]=0,0,Tidstabel[[#This Row],[VS_Uds?]]*VS_Enhedspris*((1+Tidstabel[[#This Row],[Kalkulationsrente]])^-Tidstabel[[#This Row],[År]])*((1+PrisudviklingGenerelt)^Tidstabel[[#This Row],[År]]))),BlankTegn)</f>
        <v>.</v>
      </c>
      <c r="BK11" s="262" t="str">
        <f>IFERROR(IF(Tidstabel[[#This Row],[År]]&gt;Input_Tidshorisont,BlankTegn,
IF(Tidstabel[[#This Row],[År]]=0,0,Tidstabel[[#This Row],[VS_Uds?]]*-VS_Enhedspris*VS_Genoprettelse*((1+Tidstabel[[#This Row],[Kalkulationsrente]])^-Tidstabel[[#This Row],[År]])*((1+PrisudviklingGenerelt)^Tidstabel[[#This Row],[År]]))),BlankTegn)</f>
        <v>.</v>
      </c>
      <c r="BL11" s="245">
        <f>IFERROR(IF(Tidstabel[[#This Row],[År]]&gt;Input_Tidshorisont,BlankTegn,
IF(Tidstabel[[#This Row],[År]]=0,-EI_Enhedspris,0)),BlankTegn)</f>
        <v>0</v>
      </c>
      <c r="BM11" s="245" t="str">
        <f>IFERROR(IF(Tidstabel[[#This Row],[År]]&gt;Input_Tidshorisont,BlankTegn,
IF(Tidstabel[[#This Row],[År]]=0,EI_Enhedspris/EI_Levetid,BM10*((1+Tidstabel[[#This Row],[Kalkulationsrente]])^-1)*((1+PrisudviklingGenerelt)^1))),BlankTegn)</f>
        <v>.</v>
      </c>
      <c r="BN11" s="178" t="str">
        <f ca="1">IFERROR(IF(Tidstabel[[#This Row],[År]]&gt;Input_Tidshorisont,BlankTegn,
IF(EI_Vedligehold_i=1,IF(Tidstabel[[#This Row],[EI_Uds?]]=0,1,0),IF(MAX(BN10:OFFSET(BO10,2-EI_Vedligehold_i,0),Tidstabel[[#This Row],[EI_Uds?]])=0,1,0))),BlankTegn)</f>
        <v>.</v>
      </c>
      <c r="BO11" s="178" t="str">
        <f>IFERROR(IF(Tidstabel[[#This Row],[År]]&gt;Input_Tidshorisont,BlankTegn,
IF(Tidstabel[[#This Row],[År]]=0,1,IF(MOD(Tidstabel[[#This Row],[År]],EI_Levetid)=0,1,IF(Tidstabel[[#This Row],[År]]=Input_Tidshorisont,0,0)))),BlankTegn)</f>
        <v>.</v>
      </c>
      <c r="BP11" s="245" t="str">
        <f ca="1">IFERROR(IF(Tidstabel[[#This Row],[År]]&gt;Input_Tidshorisont,BlankTegn,
EI_Vedligehold_p*-EI_Enhedspris*Tidstabel[[#This Row],[EI_Ved?]]*((1+Tidstabel[[#This Row],[Kalkulationsrente]])^-Tidstabel[[#This Row],[År]])*((1+PrisudviklingGenerelt)^Tidstabel[[#This Row],[År]])),BlankTegn)</f>
        <v>.</v>
      </c>
      <c r="BQ11" s="245" t="str">
        <f>IFERROR(IF(Tidstabel[[#This Row],[År]]&gt;Input_Tidshorisont,BlankTegn,
IF(Tidstabel[[#This Row],[År]]=0,EI_Enhedspris,SUM(BQ10:BR10)*((1+Tidstabel[[#This Row],[Kalkulationsrente]])^-1)*((1+PrisudviklingGenerelt)^1)-Tidstabel[[#This Row],[EI_Afskrivning]])),BlankTegn)</f>
        <v>.</v>
      </c>
      <c r="BR11" s="245" t="str">
        <f>IFERROR(IF(Tidstabel[[#This Row],[År]]&gt;Input_Tidshorisont,BlankTegn,
IF(Tidstabel[[#This Row],[År]]=0,0,Tidstabel[[#This Row],[EI_Uds?]]*EI_Enhedspris*((1+Tidstabel[[#This Row],[Kalkulationsrente]])^-Tidstabel[[#This Row],[År]])*((1+PrisudviklingGenerelt)^Tidstabel[[#This Row],[År]]))),BlankTegn)</f>
        <v>.</v>
      </c>
      <c r="BS11" s="262" t="str">
        <f>IFERROR(IF(Tidstabel[[#This Row],[År]]&gt;Input_Tidshorisont,BlankTegn,
IF(Tidstabel[[#This Row],[År]]=0,0,Tidstabel[[#This Row],[EI_Uds?]]*-EI_Enhedspris*EI_Genoprettelse*((1+Tidstabel[[#This Row],[Kalkulationsrente]])^-Tidstabel[[#This Row],[År]])*((1+PrisudviklingGenerelt)^Tidstabel[[#This Row],[År]]))),BlankTegn)</f>
        <v>.</v>
      </c>
      <c r="BT11" s="245">
        <f>IFERROR(IF(Tidstabel[[#This Row],[År]]&gt;Input_Tidshorisont,BlankTegn,
IF(Tidstabel[[#This Row],[År]]=0,-AP_Enhedspris,0)),BlankTegn)</f>
        <v>0</v>
      </c>
      <c r="BU11" s="245" t="str">
        <f>IFERROR(IF(Tidstabel[[#This Row],[År]]&gt;Input_Tidshorisont,BlankTegn,
IF(Tidstabel[[#This Row],[År]]=0,AP_Enhedspris/AP_Levetid,BU10*((1+Tidstabel[[#This Row],[Kalkulationsrente]])^-1)*((1+PrisudviklingGenerelt)^1))),BlankTegn)</f>
        <v>.</v>
      </c>
      <c r="BV11" s="178" t="str">
        <f ca="1">IFERROR(IF(Tidstabel[[#This Row],[År]]&gt;Input_Tidshorisont,BlankTegn,
IF(AP_Vedligehold_i=1,IF(Tidstabel[[#This Row],[AP_Uds?]]=0,1,0),IF(MAX(BV10:OFFSET(BW10,2-AP_Vedligehold_i,0),Tidstabel[[#This Row],[AP_Uds?]])=0,1,0))),BlankTegn)</f>
        <v>.</v>
      </c>
      <c r="BW11" s="178" t="str">
        <f>IFERROR(IF(Tidstabel[[#This Row],[År]]&gt;Input_Tidshorisont,BlankTegn,
IF(Tidstabel[[#This Row],[År]]=0,1,IF(MOD(Tidstabel[[#This Row],[År]],AP_Levetid)=0,1,IF(Tidstabel[[#This Row],[År]]=Input_Tidshorisont,0,0)))),BlankTegn)</f>
        <v>.</v>
      </c>
      <c r="BX11" s="245" t="str">
        <f ca="1">IFERROR(IF(Tidstabel[[#This Row],[År]]&gt;Input_Tidshorisont,BlankTegn,
AP_Vedligehold_p*-AP_Enhedspris*Tidstabel[[#This Row],[AP_Ved?]]*((1+Tidstabel[[#This Row],[Kalkulationsrente]])^-Tidstabel[[#This Row],[År]])*((1+PrisudviklingGenerelt)^Tidstabel[[#This Row],[År]])),BlankTegn)</f>
        <v>.</v>
      </c>
      <c r="BY11" s="245" t="str">
        <f>IFERROR(IF(Tidstabel[[#This Row],[År]]&gt;Input_Tidshorisont,BlankTegn,
IF(Tidstabel[[#This Row],[År]]=0,AP_Enhedspris,SUM(BY10:BZ10)*((1+Tidstabel[[#This Row],[Kalkulationsrente]])^-1)*((1+PrisudviklingGenerelt)^1)-Tidstabel[[#This Row],[AP_Afskrivning]])),BlankTegn)</f>
        <v>.</v>
      </c>
      <c r="BZ11" s="245" t="str">
        <f>IFERROR(IF(Tidstabel[[#This Row],[År]]&gt;Input_Tidshorisont,BlankTegn,
IF(Tidstabel[[#This Row],[År]]=0,0,Tidstabel[[#This Row],[AP_Uds?]]*AP_Enhedspris*((1+Tidstabel[[#This Row],[Kalkulationsrente]])^-Tidstabel[[#This Row],[År]])*((1+PrisudviklingGenerelt)^Tidstabel[[#This Row],[År]]))),BlankTegn)</f>
        <v>.</v>
      </c>
      <c r="CA11" s="262" t="str">
        <f>IFERROR(IF(Tidstabel[[#This Row],[År]]&gt;Input_Tidshorisont,BlankTegn,
IF(Tidstabel[[#This Row],[År]]=0,0,Tidstabel[[#This Row],[AP_Uds?]]*-AP_Enhedspris*AP_Genoprettelse*((1+Tidstabel[[#This Row],[Kalkulationsrente]])^-Tidstabel[[#This Row],[År]])*((1+PrisudviklingGenerelt)^Tidstabel[[#This Row],[År]]))),BlankTegn)</f>
        <v>.</v>
      </c>
      <c r="CB11" s="245">
        <f>IFERROR(IF(Tidstabel[[#This Row],[År]]&gt;Input_Tidshorisont,BlankTegn,
IF(Tidstabel[[#This Row],[År]]=0,-SK_Enhedspris,0)),BlankTegn)</f>
        <v>0</v>
      </c>
      <c r="CC11" s="245" t="str">
        <f>IFERROR(IF(Tidstabel[[#This Row],[År]]&gt;Input_Tidshorisont,BlankTegn,
IF(Tidstabel[[#This Row],[År]]=0,SK_Enhedspris/SK_Levetid,CC10*((1+Tidstabel[[#This Row],[Kalkulationsrente]])^-1)*((1+PrisudviklingGenerelt)^1))),BlankTegn)</f>
        <v>.</v>
      </c>
      <c r="CD11" s="178" t="str">
        <f ca="1">IFERROR(IF(Tidstabel[[#This Row],[År]]&gt;Input_Tidshorisont,BlankTegn,
IF(SK_Vedligehold_i=1,IF(Tidstabel[[#This Row],[SK_Uds?]]=0,1,0),IF(MAX(CD10:OFFSET(CE10,2-SK_Vedligehold_i,0),Tidstabel[[#This Row],[SK_Uds?]])=0,1,0))),BlankTegn)</f>
        <v>.</v>
      </c>
      <c r="CE11" s="178" t="str">
        <f>IFERROR(IF(Tidstabel[[#This Row],[År]]&gt;Input_Tidshorisont,BlankTegn,
IF(Tidstabel[[#This Row],[År]]=0,1,IF(MOD(Tidstabel[[#This Row],[År]],SK_Levetid)=0,1,IF(Tidstabel[[#This Row],[År]]=Input_Tidshorisont,0,0)))),BlankTegn)</f>
        <v>.</v>
      </c>
      <c r="CF11" s="245" t="str">
        <f ca="1">IFERROR(IF(Tidstabel[[#This Row],[År]]&gt;Input_Tidshorisont,BlankTegn,
SK_Vedligehold_p*-SK_Enhedspris*Tidstabel[[#This Row],[SK_Ved?]]*((1+Tidstabel[[#This Row],[Kalkulationsrente]])^-Tidstabel[[#This Row],[År]])*((1+PrisudviklingGenerelt)^Tidstabel[[#This Row],[År]])),BlankTegn)</f>
        <v>.</v>
      </c>
      <c r="CG11" s="245" t="str">
        <f>IFERROR(IF(Tidstabel[[#This Row],[År]]&gt;Input_Tidshorisont,BlankTegn,
IF(Tidstabel[[#This Row],[År]]=0,SK_Enhedspris,SUM(CG10:CH10)*((1+Tidstabel[[#This Row],[Kalkulationsrente]])^-1)*((1+PrisudviklingGenerelt)^1)-Tidstabel[[#This Row],[SK_Afskrivning]])),BlankTegn)</f>
        <v>.</v>
      </c>
      <c r="CH11" s="245" t="str">
        <f>IFERROR(IF(Tidstabel[[#This Row],[År]]&gt;Input_Tidshorisont,BlankTegn,
IF(Tidstabel[[#This Row],[År]]=0,0,Tidstabel[[#This Row],[SK_Uds?]]*SK_Enhedspris*((1+Tidstabel[[#This Row],[Kalkulationsrente]])^-Tidstabel[[#This Row],[År]])*((1+PrisudviklingGenerelt)^Tidstabel[[#This Row],[År]]))),BlankTegn)</f>
        <v>.</v>
      </c>
      <c r="CI11" s="262" t="str">
        <f>IFERROR(IF(Tidstabel[[#This Row],[År]]&gt;Input_Tidshorisont,BlankTegn,
IF(Tidstabel[[#This Row],[År]]=0,0,Tidstabel[[#This Row],[SK_Uds?]]*-SK_Enhedspris*SK_Genoprettelse*((1+Tidstabel[[#This Row],[Kalkulationsrente]])^-Tidstabel[[#This Row],[År]])*((1+PrisudviklingGenerelt)^Tidstabel[[#This Row],[År]]))),BlankTegn)</f>
        <v>.</v>
      </c>
      <c r="CJ11" s="19"/>
    </row>
    <row r="12" spans="1:88">
      <c r="A12" s="250">
        <v>5</v>
      </c>
      <c r="B12" s="250">
        <f>Input_Etableringsår+Tidstabel[[#This Row],[År]]</f>
        <v>2029</v>
      </c>
      <c r="C12" s="274" cm="1">
        <f t="array" ref="C12">_xlfn.IFS(Tidstabel[[#This Row],[År]]&gt;KR_Trin3_Tærskel,KR_Trin3_Rente,Tidstabel[[#This Row],[År]]&gt;KR_Trin2_Tærskel,KR_Trin2_Rente,Tidstabel[[#This Row],[År]]&gt;KR_Trin1_Tærskel,KR_Trin1_Rente,Tidstabel[[#This Row],[År]]&gt;KR_Trin0_Tærskel,KR_Trin0_Rente)</f>
        <v>3.5000000000000003E-2</v>
      </c>
      <c r="D12" s="142" t="str" cm="1">
        <f t="array" ref="D12">IFERROR(
INDEX(Range_Materiale_ÅrligeEmissioner,MATCH(1,(Materialedata[Komponent]=FB_Titel)*(Materialedata[Materiale]=FB_Materiale),0),MATCH(Tidstabel[[#This Row],[År]],Range_Materiale_År,0)),BlankTegn)</f>
        <v>.</v>
      </c>
      <c r="E12" s="142" t="str" cm="1">
        <f t="array" ref="E12">IFERROR(
INDEX(Range_Materiale_ÅrligeEmissioner,MATCH(1,(Materialedata[Komponent]=SK_Titel)*(Materialedata[Materiale]=SK_Materiale),0),MATCH(Tidstabel[[#This Row],[År]],Range_Materiale_År,0)),BlankTegn)</f>
        <v>.</v>
      </c>
      <c r="F12" s="142" t="str" cm="1">
        <f t="array" ref="F12">IFERROR(
INDEX(Range_Materiale_ÅrligeEmissioner,MATCH(1,(Materialedata[Komponent]=EI_Titel)*(Materialedata[Materiale]=EI_Materiale),0),MATCH(Tidstabel[[#This Row],[År]],Range_Materiale_År,0)),BlankTegn)</f>
        <v>.</v>
      </c>
      <c r="G12" s="142" t="str" cm="1">
        <f t="array" ref="G12">IFERROR(
INDEX(Range_Materiale_ÅrligeEmissioner,MATCH(1,(Materialedata[Komponent]=AP_Titel)*(Materialedata[Materiale]=AP_Materiale),0),MATCH(Tidstabel[[#This Row],[År]],Range_Materiale_År,0)),BlankTegn)</f>
        <v>.</v>
      </c>
      <c r="H12" s="142" t="str" cm="1">
        <f t="array" ref="H12">IFERROR(
INDEX(Range_Materiale_ÅrligeEmissioner,MATCH(1,(Materialedata[Komponent]=VS_Titel)*(Materialedata[Materiale]=VS_Materiale),0),MATCH(Tidstabel[[#This Row],[År]],Range_Materiale_År,0)),BlankTegn)</f>
        <v>.</v>
      </c>
      <c r="I12" s="142" t="str">
        <f>IFERROR(
IF(SUM(Tidstabel[[#This Row],[Facadebeklædning]:[Vindspærre]])=0,BlankTegn,
SUM(Tidstabel[[#This Row],[Facadebeklædning]:[Vindspærre]])),BlankTegn)</f>
        <v>.</v>
      </c>
      <c r="J12" s="139">
        <f>IF(Tidstabel[[#This Row],[År]]&gt;Input_Tidshorisont,BlankTegn,
A5_ElVarmeBrændstofByggeplads)</f>
        <v>0.25</v>
      </c>
      <c r="K12" s="142" t="str">
        <f>IFERROR(IF(Tidstabel[[#This Row],[År]]&gt;Input_Tidshorisont,BlankTegn,
-1*INDEX(Range_Energi_ÅrligBesparelse,MATCH(Input_EksisterendeFacade,Energiberegning[Ydervæg],0),MATCH(Tidstabel[[#This Row],[Årstal]],Range_Energi_Årstal,0))),BlankTegn)</f>
        <v>.</v>
      </c>
      <c r="L12" s="142">
        <f>IF(Tidstabel[[#This Row],[År]]&gt;Input_Tidshorisont,BlankTegn,
(Tidstabel[[#This Row],[År]]+1)*(SUM(Vedligeholdelsesmaterialer[Facadefarve],Vedligeholdelsesmaterialer[Grunder og mellemmaling])/12+SUM(Vedligeholdelsesmaterialer[Puds])/30))</f>
        <v>1.9491257149999999</v>
      </c>
      <c r="M12" s="142" t="str">
        <f>IFERROR(IF(Tidstabel[[#This Row],[År]]&gt;Input_Tidshorisont,BlankTegn,
Tidstabel[[#This Row],[Materialer_Total]]+Tidstabel[[#This Row],[Byggeprocess]]),BlankTegn)</f>
        <v>.</v>
      </c>
      <c r="N12" s="142" t="str">
        <f>IFERROR(IF(Tidstabel[[#This Row],[År]]&gt;Input_Tidshorisont,BlankTegn,
Tidstabel[[#This Row],[Energibesparelse]]+Tidstabel[[#This Row],[Emission_Brutto]]),BlankTegn)</f>
        <v>.</v>
      </c>
      <c r="O12" s="142" t="str">
        <f>IFERROR(IF(Tidstabel[[#This Row],[År]]&gt;Input_Tidshorisont,BlankTegn,
Tidstabel[[#This Row],[Emission_Netto]]-Tidstabel[[#This Row],[Vedligehold_EksisterendeFacade]]),BlankTegn)</f>
        <v>.</v>
      </c>
      <c r="P12" s="271" t="str">
        <f>IFERROR(IF(Tidstabel[[#This Row],[År]]&gt;Input_Tidshorisont,BlankTegn,
IF(AND(Tidstabel[[#This Row],[Emission_Netto]]-Tidstabel[[#This Row],[Vedligehold_EksisterendeFacade]]&gt;0,N13-L13&lt;0),-1,IF(AND(Tidstabel[[#This Row],[Emission_Netto]]-Tidstabel[[#This Row],[Vedligehold_EksisterendeFacade]]&lt;0,N13-L13&gt;0),1,0))),BlankTegn)</f>
        <v>.</v>
      </c>
      <c r="Q12" s="174" t="str">
        <f>IF(Tidstabel[[#This Row],[År]]&gt;Input_Tidshorisont,BlankTegn,
IF(Tidstabel[[#This Row],[LCA-Skæring]]=-1,SUM(Tidstabel[[#This Row],[År]]*(1-ABS(Tidstabel[[#This Row],[LCA-Difference]])/(ABS(Tidstabel[[#This Row],[LCA-Difference]])+ABS(O13))),A13*(1-ABS(O13)/(ABS(Tidstabel[[#This Row],[LCA-Difference]])+ABS(O13)))),"-"))</f>
        <v>-</v>
      </c>
      <c r="R12" s="174" t="str">
        <f>IF(Tidstabel[[#This Row],[År]]&gt;Input_Tidshorisont,BlankTegn,
IF(Tidstabel[[#This Row],[LCA-Skæring]]=-1,SUM(Tidstabel[[#This Row],[Emission_Netto]]*(1-ABS(Tidstabel[[#This Row],[LCA-Difference]])/(ABS(Tidstabel[[#This Row],[LCA-Difference]])+ABS(O13))),N13*(1-ABS(O13)/(ABS(Tidstabel[[#This Row],[LCA-Difference]])+ABS(O13)))),"-"))</f>
        <v>-</v>
      </c>
      <c r="S12" s="174" t="str">
        <f>IF(Tidstabel[[#This Row],[År]]&gt;Input_Tidshorisont,BlankTegn,
IF(Tidstabel[[#This Row],[LCA-Skæring]]=1,SUM(Tidstabel[[#This Row],[År]]*(1-ABS(Tidstabel[[#This Row],[LCA-Difference]])/(ABS(Tidstabel[[#This Row],[LCA-Difference]])+ABS(O13))),A13*(1-ABS(O13)/(ABS(Tidstabel[[#This Row],[LCA-Difference]])+ABS(O13)))),"-"))</f>
        <v>-</v>
      </c>
      <c r="T12" s="264" t="str">
        <f>IF(Tidstabel[[#This Row],[År]]&gt;Input_Tidshorisont,BlankTegn,
IF(Tidstabel[[#This Row],[LCA-Skæring]]=1,SUM(Tidstabel[[#This Row],[Emission_Netto]]*(1-ABS(Tidstabel[[#This Row],[LCA-Difference]])/(ABS(Tidstabel[[#This Row],[LCA-Difference]])+ABS(O13))),N13*(1-ABS(O13)/(ABS(Tidstabel[[#This Row],[LCA-Difference]])+ABS(O13)))),"-"))</f>
        <v>-</v>
      </c>
      <c r="U12" s="142" t="str">
        <f ca="1">IFERROR(IF(Tidstabel[[#This Row],[År]]&gt;Input_Tidshorisont,BlankTegn,
Tidstabel[[#This Row],[NPV_Klimafacade]]-Tidstabel[[#This Row],[NPV_Eksisterende]]),BlankTegn)</f>
        <v>.</v>
      </c>
      <c r="V12" s="271" t="str">
        <f ca="1">IFERROR(IF(Tidstabel[[#This Row],[År]]&gt;Input_Tidshorisont,BlankTegn,
IF(AND(Tidstabel[[#This Row],[NPV_Klimafacade]]-Tidstabel[[#This Row],[NPV_Eksisterende]]&gt;0,AB13-AA13&lt;0),1,IF(AND(Tidstabel[[#This Row],[NPV_Klimafacade]]-Tidstabel[[#This Row],[NPV_Eksisterende]]&lt;0,AB13-AA13&gt;0),-1,0))),BlankTegn)</f>
        <v>.</v>
      </c>
      <c r="W12" s="174" t="str">
        <f ca="1">IF(Tidstabel[[#This Row],[År]]&gt;Input_Tidshorisont,BlankTegn,
IF(Tidstabel[[#This Row],[LCC-Skæring]]=-1,SUM(Tidstabel[[#This Row],[År]]*(1-ABS(Tidstabel[[#This Row],[LCC-Difference]])/(ABS(Tidstabel[[#This Row],[LCC-Difference]])+ABS(U13))),A13*(1-ABS(U13)/(ABS(Tidstabel[[#This Row],[LCC-Difference]])+ABS(U13)))),"-"))</f>
        <v>-</v>
      </c>
      <c r="X12" s="174" t="str">
        <f ca="1">IF(Tidstabel[[#This Row],[År]]&gt;Input_Tidshorisont,BlankTegn,
IF(Tidstabel[[#This Row],[LCC-Skæring]]=-1,SUM(Tidstabel[[#This Row],[NPV_Klimafacade]]*(1-ABS(Tidstabel[[#This Row],[LCC-Difference]])/(ABS(Tidstabel[[#This Row],[LCC-Difference]])+ABS(U13))),AB13*(1-ABS(U13)/(ABS(Tidstabel[[#This Row],[LCC-Difference]])+ABS(U13)))),"-"))</f>
        <v>-</v>
      </c>
      <c r="Y12" s="174" t="str">
        <f ca="1">IF(Tidstabel[[#This Row],[År]]&gt;Input_Tidshorisont,BlankTegn,
IF(Tidstabel[[#This Row],[LCC-Skæring]]=1,SUM(Tidstabel[[#This Row],[År]]*(1-ABS(Tidstabel[[#This Row],[LCC-Difference]])/(ABS(Tidstabel[[#This Row],[LCC-Difference]])+ABS(U13))),A13*(1-ABS(U13)/(ABS(Tidstabel[[#This Row],[LCC-Difference]])+ABS(U13)))),"-"))</f>
        <v>-</v>
      </c>
      <c r="Z12" s="264" t="str">
        <f ca="1">IF(Tidstabel[[#This Row],[År]]&gt;Input_Tidshorisont,BlankTegn,
IF(Tidstabel[[#This Row],[LCC-Skæring]]=1,SUM(Tidstabel[[#This Row],[NPV_Klimafacade]]*(1-ABS(Tidstabel[[#This Row],[LCC-Difference]])/(ABS(Tidstabel[[#This Row],[LCC-Difference]])+ABS(U13))),AB13*(1-ABS(U13)/(ABS(Tidstabel[[#This Row],[LCC-Difference]])+ABS(U13)))),"-"))</f>
        <v>-</v>
      </c>
      <c r="AA12" s="142">
        <f ca="1">IF(Tidstabel[[#This Row],[År]]&gt;Input_Tidshorisont,BlankTegn,
Tidstabel[[#This Row],[EF_Vedligehold_Aggregeret]])</f>
        <v>-58.725841138013351</v>
      </c>
      <c r="AB12"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12" s="142" t="str">
        <f>IFERROR(IF(Tidstabel[[#This Row],[År]]&gt;Input_Tidshorisont,BlankTegn,
Tidstabel[[#This Row],[KF_Anskaffelse_Aggregeret]]+Tidstabel[[#This Row],[KF_Engangsudgifter_Aggregeret]]),BlankTegn)</f>
        <v>.</v>
      </c>
      <c r="AD12" s="174">
        <f ca="1">IFERROR(IF(Tidstabel[[#This Row],[År]]&gt;Input_Tidshorisont,BlankTegn,
IF(Tidstabel[[#This Row],[År]]=0,0,Tidstabel[[#This Row],[NPV_Eksisterende]]*(Tidstabel[[#This Row],[Kalkulationsrente]]/(1-(1+Tidstabel[[#This Row],[Kalkulationsrente]])^-Tidstabel[[#This Row],[År]])))),BlankTegn)</f>
        <v>-13.006679935111633</v>
      </c>
      <c r="AE12" s="264" t="str">
        <f ca="1">IFERROR(IF(Tidstabel[[#This Row],[År]]&gt;Input_Tidshorisont,BlankTegn,
IF(Tidstabel[[#This Row],[År]]=0,0,Tidstabel[[#This Row],[NPV_Klimafacade]]*(Tidstabel[[#This Row],[Kalkulationsrente]]/(1-(1+Tidstabel[[#This Row],[Kalkulationsrente]])^-Tidstabel[[#This Row],[År]])))),BlankTegn)</f>
        <v>.</v>
      </c>
      <c r="AF12" s="270">
        <f ca="1">IF(Tidstabel[[#This Row],[År]]&gt;Input_Tidshorisont,BlankTegn,
IF(EF_Vedligehold_i=1,IF(Tidstabel[[#This Row],[EF_Uds?]]=0,1,0),IF(MAX(AF11:OFFSET(AG11,2-EF_Vedligehold_i,0),Tidstabel[[#This Row],[EF_Uds?]])=0,1,0)))</f>
        <v>1</v>
      </c>
      <c r="AG12" s="181">
        <f>IF(Tidstabel[[#This Row],[År]]&gt;Input_Tidshorisont,BlankTegn,0)</f>
        <v>0</v>
      </c>
      <c r="AH12" s="263">
        <f ca="1">IF(Tidstabel[[#This Row],[År]]&gt;Input_Tidshorisont,BlankTegn,
Tidstabel[[#This Row],[EF_Ved?]]*EF_Vedligehold_p*-EF_Enhedspris*((1+Tidstabel[[#This Row],[Kalkulationsrente]])^-Tidstabel[[#This Row],[År]])*((1+PrisudviklingGenerelt)^Tidstabel[[#This Row],[År]]))</f>
        <v>-8.9655689689045168</v>
      </c>
      <c r="AI12" s="262">
        <f ca="1">IF(Tidstabel[[#This Row],[År]]&gt;Input_Tidshorisont,BlankTegn,
IF(Tidstabel[[#This Row],[År]]=0,Tidstabel[[#This Row],[EF_Vedligehold]],AI11+Tidstabel[[#This Row],[EF_Vedligehold]]))</f>
        <v>-58.725841138013351</v>
      </c>
      <c r="AJ12" s="245">
        <f>IFERROR(IF(Tidstabel[[#This Row],[År]]&gt;Input_Tidshorisont,BlankTegn,
Tidstabel[[#This Row],[FB_Anskaffelse]]+Tidstabel[[#This Row],[VS_Anskaffelse]]+Tidstabel[[#This Row],[EI_Anskaffelse]]+Tidstabel[[#This Row],[AP_Anskaffelse]]+Tidstabel[[#This Row],[SK_Anskaffelse]]),BlankTegn)</f>
        <v>0</v>
      </c>
      <c r="AK12" s="245" t="str">
        <f>IFERROR(IF(Tidstabel[[#This Row],[År]]&gt;Input_Tidshorisont,BlankTegn,
IF(Tidstabel[[#This Row],[År]]=0,Tidstabel[[#This Row],[KF_Anskaffelse]],AK11+Tidstabel[[#This Row],[KF_Anskaffelse]])),BlankTegn)</f>
        <v>.</v>
      </c>
      <c r="AL12" s="246" t="str">
        <f ca="1">IFERROR(IF(Tidstabel[[#This Row],[År]]&gt;Input_Tidshorisont,BlankTegn,
Tidstabel[[#This Row],[FB_Vedligehold]]+Tidstabel[[#This Row],[VS_Vedligehold]]+Tidstabel[[#This Row],[EI_Vedligehold]]+Tidstabel[[#This Row],[AP_Vedligehold]]+Tidstabel[[#This Row],[SK_Vedligehold]]),BlankTegn)</f>
        <v>.</v>
      </c>
      <c r="AM12" s="245" t="str">
        <f ca="1">IFERROR(IF(Tidstabel[[#This Row],[År]]&gt;Input_Tidshorisont,BlankTegn,
IF(Tidstabel[[#This Row],[År]]=0,Tidstabel[[#This Row],[KF_Vedligehold]],AM11+Tidstabel[[#This Row],[KF_Vedligehold]])),BlankTegn)</f>
        <v>.</v>
      </c>
      <c r="AN12"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12"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12" s="245" t="str">
        <f>IFERROR(IF(Tidstabel[[#This Row],[År]]&gt;Input_Tidshorisont,BlankTegn,
IF(Tidstabel[[#This Row],[År]]=0,Tidstabel[[#This Row],[KF_Udskiftning_Komponent]],AP11+Tidstabel[[#This Row],[KF_Udskiftning_Komponent]])),BlankTegn)</f>
        <v>.</v>
      </c>
      <c r="AQ12" s="245">
        <f>IF(Tidstabel[[#This Row],[År]]&gt;Input_Tidshorisont,BlankTegn,
IF(Tidstabel[[#This Row],[År]]=0,-SUM(Engangsudgifter[Udgift]),0))</f>
        <v>0</v>
      </c>
      <c r="AR12" s="245">
        <f>IFERROR(IF(Tidstabel[[#This Row],[År]]&gt;Input_Tidshorisont,BlankTegn,
IF(Tidstabel[[#This Row],[År]]=0,Tidstabel[[#This Row],[KF_Engangsudgifter]],AR11+Tidstabel[[#This Row],[KF_Engangsudgifter]])),BlankTegn)</f>
        <v>0</v>
      </c>
      <c r="AS12" s="315" t="str">
        <f>IFERROR(IF(Tidstabel[[#This Row],[År]]&gt;Input_Tidshorisont,BlankTegn,
-Energibesparelse_Årlig),BlankTegn)</f>
        <v>.</v>
      </c>
      <c r="AT12" s="245" t="str">
        <f>IFERROR(IF(Tidstabel[[#This Row],[År]]&gt;Input_Tidshorisont,BlankTegn,
IF(Tidstabel[[#This Row],[År]]=0,0,-Tidstabel[[#This Row],[KF_Energiforbrug]]*Input_Fjernvarmepris*((1+Tidstabel[[#This Row],[Kalkulationsrente]])^-Tidstabel[[#This Row],[År]])*((1+PrisudviklingFjernvarme)^Tidstabel[[#This Row],[År]]))),BlankTegn)</f>
        <v>.</v>
      </c>
      <c r="AU12" s="262" t="str">
        <f>IFERROR(IF(Tidstabel[[#This Row],[År]]&gt;Input_Tidshorisont,BlankTegn,
IF(Tidstabel[[#This Row],[År]]=0,Tidstabel[[#This Row],[KF_Forsyning]],AU11+Tidstabel[[#This Row],[KF_Forsyning]])),BlankTegn)</f>
        <v>.</v>
      </c>
      <c r="AV12" s="245">
        <f>IFERROR(IF(Tidstabel[[#This Row],[År]]&gt;Input_Tidshorisont,BlankTegn,
IF(Tidstabel[[#This Row],[År]]=0,-FB_Enhedspris,0)),BlankTegn)</f>
        <v>0</v>
      </c>
      <c r="AW12" s="245" t="str">
        <f>IFERROR(IF(Tidstabel[[#This Row],[År]]&gt;Input_Tidshorisont,BlankTegn,
IF(Tidstabel[[#This Row],[År]]=0,FB_Enhedspris/FB_Levetid,AW11*((1+Tidstabel[[#This Row],[Kalkulationsrente]])^-1)*((1+PrisudviklingGenerelt)^1))),BlankTegn)</f>
        <v>.</v>
      </c>
      <c r="AX12" s="178" t="str">
        <f ca="1">IFERROR(IF(Tidstabel[[#This Row],[År]]&gt;Input_Tidshorisont,BlankTegn,
IF(FB_Vedligehold_i=1,IF(Tidstabel[[#This Row],[FB_Uds?]]=0,1,0),IF(MAX(AX11:OFFSET(AY11,2-FB_Vedligehold_i,0),Tidstabel[[#This Row],[FB_Uds?]])=0,1,0))),BlankTegn)</f>
        <v>.</v>
      </c>
      <c r="AY12" s="178" t="str">
        <f>IFERROR(IF(Tidstabel[[#This Row],[År]]&gt;Input_Tidshorisont,BlankTegn,
IF(Tidstabel[[#This Row],[År]]=0,1,IF(MOD(Tidstabel[[#This Row],[År]],FB_Levetid)=0,1,IF(Tidstabel[[#This Row],[År]]=Input_Tidshorisont,0,0)))),BlankTegn)</f>
        <v>.</v>
      </c>
      <c r="AZ12" s="245" t="str">
        <f ca="1">IFERROR(IF(Tidstabel[[#This Row],[År]]&gt;Input_Tidshorisont,BlankTegn,
FB_Vedligehold_p*-FB_Enhedspris*Tidstabel[[#This Row],[FB_Ved?]]*((1+Tidstabel[[#This Row],[Kalkulationsrente]])^-Tidstabel[[#This Row],[År]])*((1+PrisudviklingGenerelt)^Tidstabel[[#This Row],[År]])),BlankTegn)</f>
        <v>.</v>
      </c>
      <c r="BA12" s="245" t="str">
        <f>IFERROR(IF(Tidstabel[[#This Row],[År]]&gt;Input_Tidshorisont,BlankTegn,
IF(Tidstabel[[#This Row],[År]]=0,FB_Enhedspris,SUM(BA11:BB11)*((1+Tidstabel[[#This Row],[Kalkulationsrente]])^-1)*((1+PrisudviklingGenerelt)^1)-Tidstabel[[#This Row],[FB_Afskrivning]])),BlankTegn)</f>
        <v>.</v>
      </c>
      <c r="BB12" s="245" t="str">
        <f>IFERROR(IF(Tidstabel[[#This Row],[År]]&gt;Input_Tidshorisont,BlankTegn,
IF(Tidstabel[[#This Row],[År]]=0,0,Tidstabel[[#This Row],[FB_Uds?]]*FB_Enhedspris*((1+Tidstabel[[#This Row],[Kalkulationsrente]])^-Tidstabel[[#This Row],[År]])*((1+PrisudviklingGenerelt)^Tidstabel[[#This Row],[År]]))),BlankTegn)</f>
        <v>.</v>
      </c>
      <c r="BC12" s="262" t="str">
        <f>IFERROR(IF(Tidstabel[[#This Row],[År]]&gt;Input_Tidshorisont,BlankTegn,
IF(Tidstabel[[#This Row],[År]]=0,0,Tidstabel[[#This Row],[FB_Uds?]]*-FB_Enhedspris*FB_Genoprettelse*((1+Tidstabel[[#This Row],[Kalkulationsrente]])^-Tidstabel[[#This Row],[År]])*((1+PrisudviklingGenerelt)^Tidstabel[[#This Row],[År]]))),BlankTegn)</f>
        <v>.</v>
      </c>
      <c r="BD12" s="245">
        <f>IFERROR(IF(Tidstabel[[#This Row],[År]]&gt;Input_Tidshorisont,BlankTegn,
IF(Tidstabel[[#This Row],[År]]=0,-VS_Enhedspris,0)),BlankTegn)</f>
        <v>0</v>
      </c>
      <c r="BE12" s="245" t="str">
        <f>IFERROR(IF(Tidstabel[[#This Row],[År]]&gt;Input_Tidshorisont,BlankTegn,
IF(Tidstabel[[#This Row],[År]]=0,VS_Enhedspris/VS_Levetid,BE11*((1+Tidstabel[[#This Row],[Kalkulationsrente]])^-1)*((1+PrisudviklingGenerelt)^1))),BlankTegn)</f>
        <v>.</v>
      </c>
      <c r="BF12" s="178" t="str">
        <f ca="1">IFERROR(IF(Tidstabel[[#This Row],[År]]&gt;Input_Tidshorisont,BlankTegn,
IF(VS_Vedligehold_i=1,IF(Tidstabel[[#This Row],[VS_Uds?]]=0,1,0),IF(MAX(BF11:OFFSET(BG11,2-VS_Vedligehold_i,0),Tidstabel[[#This Row],[VS_Uds?]])=0,1,0))),BlankTegn)</f>
        <v>.</v>
      </c>
      <c r="BG12" s="178" t="str">
        <f>IFERROR(IF(Tidstabel[[#This Row],[År]]&gt;Input_Tidshorisont,BlankTegn,
IF(Tidstabel[[#This Row],[År]]=0,1,IF(MOD(Tidstabel[[#This Row],[År]],VS_Levetid)=0,1,IF(Tidstabel[[#This Row],[År]]=Input_Tidshorisont,0,0)))),BlankTegn)</f>
        <v>.</v>
      </c>
      <c r="BH12" s="245" t="str">
        <f ca="1">IFERROR(IF(Tidstabel[[#This Row],[År]]&gt;Input_Tidshorisont,BlankTegn,
VS_Vedligehold_p*-VS_Enhedspris*Tidstabel[[#This Row],[VS_Ved?]]*((1+Tidstabel[[#This Row],[Kalkulationsrente]])^-Tidstabel[[#This Row],[År]])*((1+PrisudviklingGenerelt)^Tidstabel[[#This Row],[År]])),BlankTegn)</f>
        <v>.</v>
      </c>
      <c r="BI12" s="245" t="str">
        <f>IFERROR(IF(Tidstabel[[#This Row],[År]]&gt;Input_Tidshorisont,BlankTegn,
IF(Tidstabel[[#This Row],[År]]=0,VS_Enhedspris,SUM(BI11:BJ11)*((1+Tidstabel[[#This Row],[Kalkulationsrente]])^-1)*((1+PrisudviklingGenerelt)^1)-Tidstabel[[#This Row],[VS_Afskrivning]])),BlankTegn)</f>
        <v>.</v>
      </c>
      <c r="BJ12" s="245" t="str">
        <f>IFERROR(IF(Tidstabel[[#This Row],[År]]&gt;Input_Tidshorisont,BlankTegn,
IF(Tidstabel[[#This Row],[År]]=0,0,Tidstabel[[#This Row],[VS_Uds?]]*VS_Enhedspris*((1+Tidstabel[[#This Row],[Kalkulationsrente]])^-Tidstabel[[#This Row],[År]])*((1+PrisudviklingGenerelt)^Tidstabel[[#This Row],[År]]))),BlankTegn)</f>
        <v>.</v>
      </c>
      <c r="BK12" s="262" t="str">
        <f>IFERROR(IF(Tidstabel[[#This Row],[År]]&gt;Input_Tidshorisont,BlankTegn,
IF(Tidstabel[[#This Row],[År]]=0,0,Tidstabel[[#This Row],[VS_Uds?]]*-VS_Enhedspris*VS_Genoprettelse*((1+Tidstabel[[#This Row],[Kalkulationsrente]])^-Tidstabel[[#This Row],[År]])*((1+PrisudviklingGenerelt)^Tidstabel[[#This Row],[År]]))),BlankTegn)</f>
        <v>.</v>
      </c>
      <c r="BL12" s="245">
        <f>IFERROR(IF(Tidstabel[[#This Row],[År]]&gt;Input_Tidshorisont,BlankTegn,
IF(Tidstabel[[#This Row],[År]]=0,-EI_Enhedspris,0)),BlankTegn)</f>
        <v>0</v>
      </c>
      <c r="BM12" s="245" t="str">
        <f>IFERROR(IF(Tidstabel[[#This Row],[År]]&gt;Input_Tidshorisont,BlankTegn,
IF(Tidstabel[[#This Row],[År]]=0,EI_Enhedspris/EI_Levetid,BM11*((1+Tidstabel[[#This Row],[Kalkulationsrente]])^-1)*((1+PrisudviklingGenerelt)^1))),BlankTegn)</f>
        <v>.</v>
      </c>
      <c r="BN12" s="178" t="str">
        <f ca="1">IFERROR(IF(Tidstabel[[#This Row],[År]]&gt;Input_Tidshorisont,BlankTegn,
IF(EI_Vedligehold_i=1,IF(Tidstabel[[#This Row],[EI_Uds?]]=0,1,0),IF(MAX(BN11:OFFSET(BO11,2-EI_Vedligehold_i,0),Tidstabel[[#This Row],[EI_Uds?]])=0,1,0))),BlankTegn)</f>
        <v>.</v>
      </c>
      <c r="BO12" s="178" t="str">
        <f>IFERROR(IF(Tidstabel[[#This Row],[År]]&gt;Input_Tidshorisont,BlankTegn,
IF(Tidstabel[[#This Row],[År]]=0,1,IF(MOD(Tidstabel[[#This Row],[År]],EI_Levetid)=0,1,IF(Tidstabel[[#This Row],[År]]=Input_Tidshorisont,0,0)))),BlankTegn)</f>
        <v>.</v>
      </c>
      <c r="BP12" s="245" t="str">
        <f ca="1">IFERROR(IF(Tidstabel[[#This Row],[År]]&gt;Input_Tidshorisont,BlankTegn,
EI_Vedligehold_p*-EI_Enhedspris*Tidstabel[[#This Row],[EI_Ved?]]*((1+Tidstabel[[#This Row],[Kalkulationsrente]])^-Tidstabel[[#This Row],[År]])*((1+PrisudviklingGenerelt)^Tidstabel[[#This Row],[År]])),BlankTegn)</f>
        <v>.</v>
      </c>
      <c r="BQ12" s="245" t="str">
        <f>IFERROR(IF(Tidstabel[[#This Row],[År]]&gt;Input_Tidshorisont,BlankTegn,
IF(Tidstabel[[#This Row],[År]]=0,EI_Enhedspris,SUM(BQ11:BR11)*((1+Tidstabel[[#This Row],[Kalkulationsrente]])^-1)*((1+PrisudviklingGenerelt)^1)-Tidstabel[[#This Row],[EI_Afskrivning]])),BlankTegn)</f>
        <v>.</v>
      </c>
      <c r="BR12" s="245" t="str">
        <f>IFERROR(IF(Tidstabel[[#This Row],[År]]&gt;Input_Tidshorisont,BlankTegn,
IF(Tidstabel[[#This Row],[År]]=0,0,Tidstabel[[#This Row],[EI_Uds?]]*EI_Enhedspris*((1+Tidstabel[[#This Row],[Kalkulationsrente]])^-Tidstabel[[#This Row],[År]])*((1+PrisudviklingGenerelt)^Tidstabel[[#This Row],[År]]))),BlankTegn)</f>
        <v>.</v>
      </c>
      <c r="BS12" s="262" t="str">
        <f>IFERROR(IF(Tidstabel[[#This Row],[År]]&gt;Input_Tidshorisont,BlankTegn,
IF(Tidstabel[[#This Row],[År]]=0,0,Tidstabel[[#This Row],[EI_Uds?]]*-EI_Enhedspris*EI_Genoprettelse*((1+Tidstabel[[#This Row],[Kalkulationsrente]])^-Tidstabel[[#This Row],[År]])*((1+PrisudviklingGenerelt)^Tidstabel[[#This Row],[År]]))),BlankTegn)</f>
        <v>.</v>
      </c>
      <c r="BT12" s="245">
        <f>IFERROR(IF(Tidstabel[[#This Row],[År]]&gt;Input_Tidshorisont,BlankTegn,
IF(Tidstabel[[#This Row],[År]]=0,-AP_Enhedspris,0)),BlankTegn)</f>
        <v>0</v>
      </c>
      <c r="BU12" s="245" t="str">
        <f>IFERROR(IF(Tidstabel[[#This Row],[År]]&gt;Input_Tidshorisont,BlankTegn,
IF(Tidstabel[[#This Row],[År]]=0,AP_Enhedspris/AP_Levetid,BU11*((1+Tidstabel[[#This Row],[Kalkulationsrente]])^-1)*((1+PrisudviklingGenerelt)^1))),BlankTegn)</f>
        <v>.</v>
      </c>
      <c r="BV12" s="178" t="str">
        <f ca="1">IFERROR(IF(Tidstabel[[#This Row],[År]]&gt;Input_Tidshorisont,BlankTegn,
IF(AP_Vedligehold_i=1,IF(Tidstabel[[#This Row],[AP_Uds?]]=0,1,0),IF(MAX(BV11:OFFSET(BW11,2-AP_Vedligehold_i,0),Tidstabel[[#This Row],[AP_Uds?]])=0,1,0))),BlankTegn)</f>
        <v>.</v>
      </c>
      <c r="BW12" s="178" t="str">
        <f>IFERROR(IF(Tidstabel[[#This Row],[År]]&gt;Input_Tidshorisont,BlankTegn,
IF(Tidstabel[[#This Row],[År]]=0,1,IF(MOD(Tidstabel[[#This Row],[År]],AP_Levetid)=0,1,IF(Tidstabel[[#This Row],[År]]=Input_Tidshorisont,0,0)))),BlankTegn)</f>
        <v>.</v>
      </c>
      <c r="BX12" s="245" t="str">
        <f ca="1">IFERROR(IF(Tidstabel[[#This Row],[År]]&gt;Input_Tidshorisont,BlankTegn,
AP_Vedligehold_p*-AP_Enhedspris*Tidstabel[[#This Row],[AP_Ved?]]*((1+Tidstabel[[#This Row],[Kalkulationsrente]])^-Tidstabel[[#This Row],[År]])*((1+PrisudviklingGenerelt)^Tidstabel[[#This Row],[År]])),BlankTegn)</f>
        <v>.</v>
      </c>
      <c r="BY12" s="245" t="str">
        <f>IFERROR(IF(Tidstabel[[#This Row],[År]]&gt;Input_Tidshorisont,BlankTegn,
IF(Tidstabel[[#This Row],[År]]=0,AP_Enhedspris,SUM(BY11:BZ11)*((1+Tidstabel[[#This Row],[Kalkulationsrente]])^-1)*((1+PrisudviklingGenerelt)^1)-Tidstabel[[#This Row],[AP_Afskrivning]])),BlankTegn)</f>
        <v>.</v>
      </c>
      <c r="BZ12" s="245" t="str">
        <f>IFERROR(IF(Tidstabel[[#This Row],[År]]&gt;Input_Tidshorisont,BlankTegn,
IF(Tidstabel[[#This Row],[År]]=0,0,Tidstabel[[#This Row],[AP_Uds?]]*AP_Enhedspris*((1+Tidstabel[[#This Row],[Kalkulationsrente]])^-Tidstabel[[#This Row],[År]])*((1+PrisudviklingGenerelt)^Tidstabel[[#This Row],[År]]))),BlankTegn)</f>
        <v>.</v>
      </c>
      <c r="CA12" s="262" t="str">
        <f>IFERROR(IF(Tidstabel[[#This Row],[År]]&gt;Input_Tidshorisont,BlankTegn,
IF(Tidstabel[[#This Row],[År]]=0,0,Tidstabel[[#This Row],[AP_Uds?]]*-AP_Enhedspris*AP_Genoprettelse*((1+Tidstabel[[#This Row],[Kalkulationsrente]])^-Tidstabel[[#This Row],[År]])*((1+PrisudviklingGenerelt)^Tidstabel[[#This Row],[År]]))),BlankTegn)</f>
        <v>.</v>
      </c>
      <c r="CB12" s="245">
        <f>IFERROR(IF(Tidstabel[[#This Row],[År]]&gt;Input_Tidshorisont,BlankTegn,
IF(Tidstabel[[#This Row],[År]]=0,-SK_Enhedspris,0)),BlankTegn)</f>
        <v>0</v>
      </c>
      <c r="CC12" s="245" t="str">
        <f>IFERROR(IF(Tidstabel[[#This Row],[År]]&gt;Input_Tidshorisont,BlankTegn,
IF(Tidstabel[[#This Row],[År]]=0,SK_Enhedspris/SK_Levetid,CC11*((1+Tidstabel[[#This Row],[Kalkulationsrente]])^-1)*((1+PrisudviklingGenerelt)^1))),BlankTegn)</f>
        <v>.</v>
      </c>
      <c r="CD12" s="178" t="str">
        <f ca="1">IFERROR(IF(Tidstabel[[#This Row],[År]]&gt;Input_Tidshorisont,BlankTegn,
IF(SK_Vedligehold_i=1,IF(Tidstabel[[#This Row],[SK_Uds?]]=0,1,0),IF(MAX(CD11:OFFSET(CE11,2-SK_Vedligehold_i,0),Tidstabel[[#This Row],[SK_Uds?]])=0,1,0))),BlankTegn)</f>
        <v>.</v>
      </c>
      <c r="CE12" s="178" t="str">
        <f>IFERROR(IF(Tidstabel[[#This Row],[År]]&gt;Input_Tidshorisont,BlankTegn,
IF(Tidstabel[[#This Row],[År]]=0,1,IF(MOD(Tidstabel[[#This Row],[År]],SK_Levetid)=0,1,IF(Tidstabel[[#This Row],[År]]=Input_Tidshorisont,0,0)))),BlankTegn)</f>
        <v>.</v>
      </c>
      <c r="CF12" s="245" t="str">
        <f ca="1">IFERROR(IF(Tidstabel[[#This Row],[År]]&gt;Input_Tidshorisont,BlankTegn,
SK_Vedligehold_p*-SK_Enhedspris*Tidstabel[[#This Row],[SK_Ved?]]*((1+Tidstabel[[#This Row],[Kalkulationsrente]])^-Tidstabel[[#This Row],[År]])*((1+PrisudviklingGenerelt)^Tidstabel[[#This Row],[År]])),BlankTegn)</f>
        <v>.</v>
      </c>
      <c r="CG12" s="245" t="str">
        <f>IFERROR(IF(Tidstabel[[#This Row],[År]]&gt;Input_Tidshorisont,BlankTegn,
IF(Tidstabel[[#This Row],[År]]=0,SK_Enhedspris,SUM(CG11:CH11)*((1+Tidstabel[[#This Row],[Kalkulationsrente]])^-1)*((1+PrisudviklingGenerelt)^1)-Tidstabel[[#This Row],[SK_Afskrivning]])),BlankTegn)</f>
        <v>.</v>
      </c>
      <c r="CH12" s="245" t="str">
        <f>IFERROR(IF(Tidstabel[[#This Row],[År]]&gt;Input_Tidshorisont,BlankTegn,
IF(Tidstabel[[#This Row],[År]]=0,0,Tidstabel[[#This Row],[SK_Uds?]]*SK_Enhedspris*((1+Tidstabel[[#This Row],[Kalkulationsrente]])^-Tidstabel[[#This Row],[År]])*((1+PrisudviklingGenerelt)^Tidstabel[[#This Row],[År]]))),BlankTegn)</f>
        <v>.</v>
      </c>
      <c r="CI12" s="262" t="str">
        <f>IFERROR(IF(Tidstabel[[#This Row],[År]]&gt;Input_Tidshorisont,BlankTegn,
IF(Tidstabel[[#This Row],[År]]=0,0,Tidstabel[[#This Row],[SK_Uds?]]*-SK_Enhedspris*SK_Genoprettelse*((1+Tidstabel[[#This Row],[Kalkulationsrente]])^-Tidstabel[[#This Row],[År]])*((1+PrisudviklingGenerelt)^Tidstabel[[#This Row],[År]]))),BlankTegn)</f>
        <v>.</v>
      </c>
      <c r="CJ12" s="19"/>
    </row>
    <row r="13" spans="1:88">
      <c r="A13" s="250">
        <v>6</v>
      </c>
      <c r="B13" s="250">
        <f>Input_Etableringsår+Tidstabel[[#This Row],[År]]</f>
        <v>2030</v>
      </c>
      <c r="C13" s="274" cm="1">
        <f t="array" ref="C13">_xlfn.IFS(Tidstabel[[#This Row],[År]]&gt;KR_Trin3_Tærskel,KR_Trin3_Rente,Tidstabel[[#This Row],[År]]&gt;KR_Trin2_Tærskel,KR_Trin2_Rente,Tidstabel[[#This Row],[År]]&gt;KR_Trin1_Tærskel,KR_Trin1_Rente,Tidstabel[[#This Row],[År]]&gt;KR_Trin0_Tærskel,KR_Trin0_Rente)</f>
        <v>3.5000000000000003E-2</v>
      </c>
      <c r="D13" s="142" t="str" cm="1">
        <f t="array" ref="D13">IFERROR(
INDEX(Range_Materiale_ÅrligeEmissioner,MATCH(1,(Materialedata[Komponent]=FB_Titel)*(Materialedata[Materiale]=FB_Materiale),0),MATCH(Tidstabel[[#This Row],[År]],Range_Materiale_År,0)),BlankTegn)</f>
        <v>.</v>
      </c>
      <c r="E13" s="142" t="str" cm="1">
        <f t="array" ref="E13">IFERROR(
INDEX(Range_Materiale_ÅrligeEmissioner,MATCH(1,(Materialedata[Komponent]=SK_Titel)*(Materialedata[Materiale]=SK_Materiale),0),MATCH(Tidstabel[[#This Row],[År]],Range_Materiale_År,0)),BlankTegn)</f>
        <v>.</v>
      </c>
      <c r="F13" s="142" t="str" cm="1">
        <f t="array" ref="F13">IFERROR(
INDEX(Range_Materiale_ÅrligeEmissioner,MATCH(1,(Materialedata[Komponent]=EI_Titel)*(Materialedata[Materiale]=EI_Materiale),0),MATCH(Tidstabel[[#This Row],[År]],Range_Materiale_År,0)),BlankTegn)</f>
        <v>.</v>
      </c>
      <c r="G13" s="142" t="str" cm="1">
        <f t="array" ref="G13">IFERROR(
INDEX(Range_Materiale_ÅrligeEmissioner,MATCH(1,(Materialedata[Komponent]=AP_Titel)*(Materialedata[Materiale]=AP_Materiale),0),MATCH(Tidstabel[[#This Row],[År]],Range_Materiale_År,0)),BlankTegn)</f>
        <v>.</v>
      </c>
      <c r="H13" s="142" t="str" cm="1">
        <f t="array" ref="H13">IFERROR(
INDEX(Range_Materiale_ÅrligeEmissioner,MATCH(1,(Materialedata[Komponent]=VS_Titel)*(Materialedata[Materiale]=VS_Materiale),0),MATCH(Tidstabel[[#This Row],[År]],Range_Materiale_År,0)),BlankTegn)</f>
        <v>.</v>
      </c>
      <c r="I13" s="142" t="str">
        <f>IFERROR(
IF(SUM(Tidstabel[[#This Row],[Facadebeklædning]:[Vindspærre]])=0,BlankTegn,
SUM(Tidstabel[[#This Row],[Facadebeklædning]:[Vindspærre]])),BlankTegn)</f>
        <v>.</v>
      </c>
      <c r="J13" s="139">
        <f>IF(Tidstabel[[#This Row],[År]]&gt;Input_Tidshorisont,BlankTegn,
A5_ElVarmeBrændstofByggeplads)</f>
        <v>0.25</v>
      </c>
      <c r="K13" s="142" t="str">
        <f>IFERROR(IF(Tidstabel[[#This Row],[År]]&gt;Input_Tidshorisont,BlankTegn,
-1*INDEX(Range_Energi_ÅrligBesparelse,MATCH(Input_EksisterendeFacade,Energiberegning[Ydervæg],0),MATCH(Tidstabel[[#This Row],[Årstal]],Range_Energi_Årstal,0))),BlankTegn)</f>
        <v>.</v>
      </c>
      <c r="L13" s="142">
        <f>IF(Tidstabel[[#This Row],[År]]&gt;Input_Tidshorisont,BlankTegn,
(Tidstabel[[#This Row],[År]]+1)*(SUM(Vedligeholdelsesmaterialer[Facadefarve],Vedligeholdelsesmaterialer[Grunder og mellemmaling])/12+SUM(Vedligeholdelsesmaterialer[Puds])/30))</f>
        <v>2.2739800008333333</v>
      </c>
      <c r="M13" s="142" t="str">
        <f>IFERROR(IF(Tidstabel[[#This Row],[År]]&gt;Input_Tidshorisont,BlankTegn,
Tidstabel[[#This Row],[Materialer_Total]]+Tidstabel[[#This Row],[Byggeprocess]]),BlankTegn)</f>
        <v>.</v>
      </c>
      <c r="N13" s="142" t="str">
        <f>IFERROR(IF(Tidstabel[[#This Row],[År]]&gt;Input_Tidshorisont,BlankTegn,
Tidstabel[[#This Row],[Energibesparelse]]+Tidstabel[[#This Row],[Emission_Brutto]]),BlankTegn)</f>
        <v>.</v>
      </c>
      <c r="O13" s="142" t="str">
        <f>IFERROR(IF(Tidstabel[[#This Row],[År]]&gt;Input_Tidshorisont,BlankTegn,
Tidstabel[[#This Row],[Emission_Netto]]-Tidstabel[[#This Row],[Vedligehold_EksisterendeFacade]]),BlankTegn)</f>
        <v>.</v>
      </c>
      <c r="P13" s="271" t="str">
        <f>IFERROR(IF(Tidstabel[[#This Row],[År]]&gt;Input_Tidshorisont,BlankTegn,
IF(AND(Tidstabel[[#This Row],[Emission_Netto]]-Tidstabel[[#This Row],[Vedligehold_EksisterendeFacade]]&gt;0,N14-L14&lt;0),-1,IF(AND(Tidstabel[[#This Row],[Emission_Netto]]-Tidstabel[[#This Row],[Vedligehold_EksisterendeFacade]]&lt;0,N14-L14&gt;0),1,0))),BlankTegn)</f>
        <v>.</v>
      </c>
      <c r="Q13" s="174" t="str">
        <f>IF(Tidstabel[[#This Row],[År]]&gt;Input_Tidshorisont,BlankTegn,
IF(Tidstabel[[#This Row],[LCA-Skæring]]=-1,SUM(Tidstabel[[#This Row],[År]]*(1-ABS(Tidstabel[[#This Row],[LCA-Difference]])/(ABS(Tidstabel[[#This Row],[LCA-Difference]])+ABS(O14))),A14*(1-ABS(O14)/(ABS(Tidstabel[[#This Row],[LCA-Difference]])+ABS(O14)))),"-"))</f>
        <v>-</v>
      </c>
      <c r="R13" s="174" t="str">
        <f>IF(Tidstabel[[#This Row],[År]]&gt;Input_Tidshorisont,BlankTegn,
IF(Tidstabel[[#This Row],[LCA-Skæring]]=-1,SUM(Tidstabel[[#This Row],[Emission_Netto]]*(1-ABS(Tidstabel[[#This Row],[LCA-Difference]])/(ABS(Tidstabel[[#This Row],[LCA-Difference]])+ABS(O14))),N14*(1-ABS(O14)/(ABS(Tidstabel[[#This Row],[LCA-Difference]])+ABS(O14)))),"-"))</f>
        <v>-</v>
      </c>
      <c r="S13" s="174" t="str">
        <f>IF(Tidstabel[[#This Row],[År]]&gt;Input_Tidshorisont,BlankTegn,
IF(Tidstabel[[#This Row],[LCA-Skæring]]=1,SUM(Tidstabel[[#This Row],[År]]*(1-ABS(Tidstabel[[#This Row],[LCA-Difference]])/(ABS(Tidstabel[[#This Row],[LCA-Difference]])+ABS(O14))),A14*(1-ABS(O14)/(ABS(Tidstabel[[#This Row],[LCA-Difference]])+ABS(O14)))),"-"))</f>
        <v>-</v>
      </c>
      <c r="T13" s="264" t="str">
        <f>IF(Tidstabel[[#This Row],[År]]&gt;Input_Tidshorisont,BlankTegn,
IF(Tidstabel[[#This Row],[LCA-Skæring]]=1,SUM(Tidstabel[[#This Row],[Emission_Netto]]*(1-ABS(Tidstabel[[#This Row],[LCA-Difference]])/(ABS(Tidstabel[[#This Row],[LCA-Difference]])+ABS(O14))),N14*(1-ABS(O14)/(ABS(Tidstabel[[#This Row],[LCA-Difference]])+ABS(O14)))),"-"))</f>
        <v>-</v>
      </c>
      <c r="U13" s="142" t="str">
        <f ca="1">IFERROR(IF(Tidstabel[[#This Row],[År]]&gt;Input_Tidshorisont,BlankTegn,
Tidstabel[[#This Row],[NPV_Klimafacade]]-Tidstabel[[#This Row],[NPV_Eksisterende]]),BlankTegn)</f>
        <v>.</v>
      </c>
      <c r="V13" s="271" t="str">
        <f ca="1">IFERROR(IF(Tidstabel[[#This Row],[År]]&gt;Input_Tidshorisont,BlankTegn,
IF(AND(Tidstabel[[#This Row],[NPV_Klimafacade]]-Tidstabel[[#This Row],[NPV_Eksisterende]]&gt;0,AB14-AA14&lt;0),1,IF(AND(Tidstabel[[#This Row],[NPV_Klimafacade]]-Tidstabel[[#This Row],[NPV_Eksisterende]]&lt;0,AB14-AA14&gt;0),-1,0))),BlankTegn)</f>
        <v>.</v>
      </c>
      <c r="W13" s="174" t="str">
        <f ca="1">IF(Tidstabel[[#This Row],[År]]&gt;Input_Tidshorisont,BlankTegn,
IF(Tidstabel[[#This Row],[LCC-Skæring]]=-1,SUM(Tidstabel[[#This Row],[År]]*(1-ABS(Tidstabel[[#This Row],[LCC-Difference]])/(ABS(Tidstabel[[#This Row],[LCC-Difference]])+ABS(U14))),A14*(1-ABS(U14)/(ABS(Tidstabel[[#This Row],[LCC-Difference]])+ABS(U14)))),"-"))</f>
        <v>-</v>
      </c>
      <c r="X13" s="174" t="str">
        <f ca="1">IF(Tidstabel[[#This Row],[År]]&gt;Input_Tidshorisont,BlankTegn,
IF(Tidstabel[[#This Row],[LCC-Skæring]]=-1,SUM(Tidstabel[[#This Row],[NPV_Klimafacade]]*(1-ABS(Tidstabel[[#This Row],[LCC-Difference]])/(ABS(Tidstabel[[#This Row],[LCC-Difference]])+ABS(U14))),AB14*(1-ABS(U14)/(ABS(Tidstabel[[#This Row],[LCC-Difference]])+ABS(U14)))),"-"))</f>
        <v>-</v>
      </c>
      <c r="Y13" s="174" t="str">
        <f ca="1">IF(Tidstabel[[#This Row],[År]]&gt;Input_Tidshorisont,BlankTegn,
IF(Tidstabel[[#This Row],[LCC-Skæring]]=1,SUM(Tidstabel[[#This Row],[År]]*(1-ABS(Tidstabel[[#This Row],[LCC-Difference]])/(ABS(Tidstabel[[#This Row],[LCC-Difference]])+ABS(U14))),A14*(1-ABS(U14)/(ABS(Tidstabel[[#This Row],[LCC-Difference]])+ABS(U14)))),"-"))</f>
        <v>-</v>
      </c>
      <c r="Z13" s="264" t="str">
        <f ca="1">IF(Tidstabel[[#This Row],[År]]&gt;Input_Tidshorisont,BlankTegn,
IF(Tidstabel[[#This Row],[LCC-Skæring]]=1,SUM(Tidstabel[[#This Row],[NPV_Klimafacade]]*(1-ABS(Tidstabel[[#This Row],[LCC-Difference]])/(ABS(Tidstabel[[#This Row],[LCC-Difference]])+ABS(U14))),AB14*(1-ABS(U14)/(ABS(Tidstabel[[#This Row],[LCC-Difference]])+ABS(U14)))),"-"))</f>
        <v>-</v>
      </c>
      <c r="AA13" s="142">
        <f ca="1">IF(Tidstabel[[#This Row],[År]]&gt;Input_Tidshorisont,BlankTegn,
Tidstabel[[#This Row],[EF_Vedligehold_Aggregeret]])</f>
        <v>-67.388226615215785</v>
      </c>
      <c r="AB13"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13" s="142" t="str">
        <f>IFERROR(IF(Tidstabel[[#This Row],[År]]&gt;Input_Tidshorisont,BlankTegn,
Tidstabel[[#This Row],[KF_Anskaffelse_Aggregeret]]+Tidstabel[[#This Row],[KF_Engangsudgifter_Aggregeret]]),BlankTegn)</f>
        <v>.</v>
      </c>
      <c r="AD13" s="174">
        <f ca="1">IFERROR(IF(Tidstabel[[#This Row],[År]]&gt;Input_Tidshorisont,BlankTegn,
IF(Tidstabel[[#This Row],[År]]=0,0,Tidstabel[[#This Row],[NPV_Eksisterende]]*(Tidstabel[[#This Row],[Kalkulationsrente]]/(1-(1+Tidstabel[[#This Row],[Kalkulationsrente]])^-Tidstabel[[#This Row],[År]])))),BlankTegn)</f>
        <v>-12.646627774010049</v>
      </c>
      <c r="AE13" s="264" t="str">
        <f ca="1">IFERROR(IF(Tidstabel[[#This Row],[År]]&gt;Input_Tidshorisont,BlankTegn,
IF(Tidstabel[[#This Row],[År]]=0,0,Tidstabel[[#This Row],[NPV_Klimafacade]]*(Tidstabel[[#This Row],[Kalkulationsrente]]/(1-(1+Tidstabel[[#This Row],[Kalkulationsrente]])^-Tidstabel[[#This Row],[År]])))),BlankTegn)</f>
        <v>.</v>
      </c>
      <c r="AF13" s="270">
        <f ca="1">IF(Tidstabel[[#This Row],[År]]&gt;Input_Tidshorisont,BlankTegn,
IF(EF_Vedligehold_i=1,IF(Tidstabel[[#This Row],[EF_Uds?]]=0,1,0),IF(MAX(AF12:OFFSET(AG12,2-EF_Vedligehold_i,0),Tidstabel[[#This Row],[EF_Uds?]])=0,1,0)))</f>
        <v>1</v>
      </c>
      <c r="AG13" s="181">
        <f>IF(Tidstabel[[#This Row],[År]]&gt;Input_Tidshorisont,BlankTegn,0)</f>
        <v>0</v>
      </c>
      <c r="AH13" s="263">
        <f ca="1">IF(Tidstabel[[#This Row],[År]]&gt;Input_Tidshorisont,BlankTegn,
Tidstabel[[#This Row],[EF_Ved?]]*EF_Vedligehold_p*-EF_Enhedspris*((1+Tidstabel[[#This Row],[Kalkulationsrente]])^-Tidstabel[[#This Row],[År]])*((1+PrisudviklingGenerelt)^Tidstabel[[#This Row],[År]]))</f>
        <v>-8.6623854772024327</v>
      </c>
      <c r="AI13" s="262">
        <f ca="1">IF(Tidstabel[[#This Row],[År]]&gt;Input_Tidshorisont,BlankTegn,
IF(Tidstabel[[#This Row],[År]]=0,Tidstabel[[#This Row],[EF_Vedligehold]],AI12+Tidstabel[[#This Row],[EF_Vedligehold]]))</f>
        <v>-67.388226615215785</v>
      </c>
      <c r="AJ13" s="245">
        <f>IFERROR(IF(Tidstabel[[#This Row],[År]]&gt;Input_Tidshorisont,BlankTegn,
Tidstabel[[#This Row],[FB_Anskaffelse]]+Tidstabel[[#This Row],[VS_Anskaffelse]]+Tidstabel[[#This Row],[EI_Anskaffelse]]+Tidstabel[[#This Row],[AP_Anskaffelse]]+Tidstabel[[#This Row],[SK_Anskaffelse]]),BlankTegn)</f>
        <v>0</v>
      </c>
      <c r="AK13" s="245" t="str">
        <f>IFERROR(IF(Tidstabel[[#This Row],[År]]&gt;Input_Tidshorisont,BlankTegn,
IF(Tidstabel[[#This Row],[År]]=0,Tidstabel[[#This Row],[KF_Anskaffelse]],AK12+Tidstabel[[#This Row],[KF_Anskaffelse]])),BlankTegn)</f>
        <v>.</v>
      </c>
      <c r="AL13" s="246" t="str">
        <f ca="1">IFERROR(IF(Tidstabel[[#This Row],[År]]&gt;Input_Tidshorisont,BlankTegn,
Tidstabel[[#This Row],[FB_Vedligehold]]+Tidstabel[[#This Row],[VS_Vedligehold]]+Tidstabel[[#This Row],[EI_Vedligehold]]+Tidstabel[[#This Row],[AP_Vedligehold]]+Tidstabel[[#This Row],[SK_Vedligehold]]),BlankTegn)</f>
        <v>.</v>
      </c>
      <c r="AM13" s="245" t="str">
        <f ca="1">IFERROR(IF(Tidstabel[[#This Row],[År]]&gt;Input_Tidshorisont,BlankTegn,
IF(Tidstabel[[#This Row],[År]]=0,Tidstabel[[#This Row],[KF_Vedligehold]],AM12+Tidstabel[[#This Row],[KF_Vedligehold]])),BlankTegn)</f>
        <v>.</v>
      </c>
      <c r="AN13"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13"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13" s="245" t="str">
        <f>IFERROR(IF(Tidstabel[[#This Row],[År]]&gt;Input_Tidshorisont,BlankTegn,
IF(Tidstabel[[#This Row],[År]]=0,Tidstabel[[#This Row],[KF_Udskiftning_Komponent]],AP12+Tidstabel[[#This Row],[KF_Udskiftning_Komponent]])),BlankTegn)</f>
        <v>.</v>
      </c>
      <c r="AQ13" s="245">
        <f>IF(Tidstabel[[#This Row],[År]]&gt;Input_Tidshorisont,BlankTegn,
IF(Tidstabel[[#This Row],[År]]=0,-SUM(Engangsudgifter[Udgift]),0))</f>
        <v>0</v>
      </c>
      <c r="AR13" s="245">
        <f>IFERROR(IF(Tidstabel[[#This Row],[År]]&gt;Input_Tidshorisont,BlankTegn,
IF(Tidstabel[[#This Row],[År]]=0,Tidstabel[[#This Row],[KF_Engangsudgifter]],AR12+Tidstabel[[#This Row],[KF_Engangsudgifter]])),BlankTegn)</f>
        <v>0</v>
      </c>
      <c r="AS13" s="315" t="str">
        <f>IFERROR(IF(Tidstabel[[#This Row],[År]]&gt;Input_Tidshorisont,BlankTegn,
-Energibesparelse_Årlig),BlankTegn)</f>
        <v>.</v>
      </c>
      <c r="AT13" s="245" t="str">
        <f>IFERROR(IF(Tidstabel[[#This Row],[År]]&gt;Input_Tidshorisont,BlankTegn,
IF(Tidstabel[[#This Row],[År]]=0,0,-Tidstabel[[#This Row],[KF_Energiforbrug]]*Input_Fjernvarmepris*((1+Tidstabel[[#This Row],[Kalkulationsrente]])^-Tidstabel[[#This Row],[År]])*((1+PrisudviklingFjernvarme)^Tidstabel[[#This Row],[År]]))),BlankTegn)</f>
        <v>.</v>
      </c>
      <c r="AU13" s="262" t="str">
        <f>IFERROR(IF(Tidstabel[[#This Row],[År]]&gt;Input_Tidshorisont,BlankTegn,
IF(Tidstabel[[#This Row],[År]]=0,Tidstabel[[#This Row],[KF_Forsyning]],AU12+Tidstabel[[#This Row],[KF_Forsyning]])),BlankTegn)</f>
        <v>.</v>
      </c>
      <c r="AV13" s="245">
        <f>IFERROR(IF(Tidstabel[[#This Row],[År]]&gt;Input_Tidshorisont,BlankTegn,
IF(Tidstabel[[#This Row],[År]]=0,-FB_Enhedspris,0)),BlankTegn)</f>
        <v>0</v>
      </c>
      <c r="AW13" s="245" t="str">
        <f>IFERROR(IF(Tidstabel[[#This Row],[År]]&gt;Input_Tidshorisont,BlankTegn,
IF(Tidstabel[[#This Row],[År]]=0,FB_Enhedspris/FB_Levetid,AW12*((1+Tidstabel[[#This Row],[Kalkulationsrente]])^-1)*((1+PrisudviklingGenerelt)^1))),BlankTegn)</f>
        <v>.</v>
      </c>
      <c r="AX13" s="178" t="str">
        <f ca="1">IFERROR(IF(Tidstabel[[#This Row],[År]]&gt;Input_Tidshorisont,BlankTegn,
IF(FB_Vedligehold_i=1,IF(Tidstabel[[#This Row],[FB_Uds?]]=0,1,0),IF(MAX(AX12:OFFSET(AY12,2-FB_Vedligehold_i,0),Tidstabel[[#This Row],[FB_Uds?]])=0,1,0))),BlankTegn)</f>
        <v>.</v>
      </c>
      <c r="AY13" s="178" t="str">
        <f>IFERROR(IF(Tidstabel[[#This Row],[År]]&gt;Input_Tidshorisont,BlankTegn,
IF(Tidstabel[[#This Row],[År]]=0,1,IF(MOD(Tidstabel[[#This Row],[År]],FB_Levetid)=0,1,IF(Tidstabel[[#This Row],[År]]=Input_Tidshorisont,0,0)))),BlankTegn)</f>
        <v>.</v>
      </c>
      <c r="AZ13" s="245" t="str">
        <f ca="1">IFERROR(IF(Tidstabel[[#This Row],[År]]&gt;Input_Tidshorisont,BlankTegn,
FB_Vedligehold_p*-FB_Enhedspris*Tidstabel[[#This Row],[FB_Ved?]]*((1+Tidstabel[[#This Row],[Kalkulationsrente]])^-Tidstabel[[#This Row],[År]])*((1+PrisudviklingGenerelt)^Tidstabel[[#This Row],[År]])),BlankTegn)</f>
        <v>.</v>
      </c>
      <c r="BA13" s="245" t="str">
        <f>IFERROR(IF(Tidstabel[[#This Row],[År]]&gt;Input_Tidshorisont,BlankTegn,
IF(Tidstabel[[#This Row],[År]]=0,FB_Enhedspris,SUM(BA12:BB12)*((1+Tidstabel[[#This Row],[Kalkulationsrente]])^-1)*((1+PrisudviklingGenerelt)^1)-Tidstabel[[#This Row],[FB_Afskrivning]])),BlankTegn)</f>
        <v>.</v>
      </c>
      <c r="BB13" s="245" t="str">
        <f>IFERROR(IF(Tidstabel[[#This Row],[År]]&gt;Input_Tidshorisont,BlankTegn,
IF(Tidstabel[[#This Row],[År]]=0,0,Tidstabel[[#This Row],[FB_Uds?]]*FB_Enhedspris*((1+Tidstabel[[#This Row],[Kalkulationsrente]])^-Tidstabel[[#This Row],[År]])*((1+PrisudviklingGenerelt)^Tidstabel[[#This Row],[År]]))),BlankTegn)</f>
        <v>.</v>
      </c>
      <c r="BC13" s="262" t="str">
        <f>IFERROR(IF(Tidstabel[[#This Row],[År]]&gt;Input_Tidshorisont,BlankTegn,
IF(Tidstabel[[#This Row],[År]]=0,0,Tidstabel[[#This Row],[FB_Uds?]]*-FB_Enhedspris*FB_Genoprettelse*((1+Tidstabel[[#This Row],[Kalkulationsrente]])^-Tidstabel[[#This Row],[År]])*((1+PrisudviklingGenerelt)^Tidstabel[[#This Row],[År]]))),BlankTegn)</f>
        <v>.</v>
      </c>
      <c r="BD13" s="245">
        <f>IFERROR(IF(Tidstabel[[#This Row],[År]]&gt;Input_Tidshorisont,BlankTegn,
IF(Tidstabel[[#This Row],[År]]=0,-VS_Enhedspris,0)),BlankTegn)</f>
        <v>0</v>
      </c>
      <c r="BE13" s="245" t="str">
        <f>IFERROR(IF(Tidstabel[[#This Row],[År]]&gt;Input_Tidshorisont,BlankTegn,
IF(Tidstabel[[#This Row],[År]]=0,VS_Enhedspris/VS_Levetid,BE12*((1+Tidstabel[[#This Row],[Kalkulationsrente]])^-1)*((1+PrisudviklingGenerelt)^1))),BlankTegn)</f>
        <v>.</v>
      </c>
      <c r="BF13" s="178" t="str">
        <f ca="1">IFERROR(IF(Tidstabel[[#This Row],[År]]&gt;Input_Tidshorisont,BlankTegn,
IF(VS_Vedligehold_i=1,IF(Tidstabel[[#This Row],[VS_Uds?]]=0,1,0),IF(MAX(BF12:OFFSET(BG12,2-VS_Vedligehold_i,0),Tidstabel[[#This Row],[VS_Uds?]])=0,1,0))),BlankTegn)</f>
        <v>.</v>
      </c>
      <c r="BG13" s="178" t="str">
        <f>IFERROR(IF(Tidstabel[[#This Row],[År]]&gt;Input_Tidshorisont,BlankTegn,
IF(Tidstabel[[#This Row],[År]]=0,1,IF(MOD(Tidstabel[[#This Row],[År]],VS_Levetid)=0,1,IF(Tidstabel[[#This Row],[År]]=Input_Tidshorisont,0,0)))),BlankTegn)</f>
        <v>.</v>
      </c>
      <c r="BH13" s="245" t="str">
        <f ca="1">IFERROR(IF(Tidstabel[[#This Row],[År]]&gt;Input_Tidshorisont,BlankTegn,
VS_Vedligehold_p*-VS_Enhedspris*Tidstabel[[#This Row],[VS_Ved?]]*((1+Tidstabel[[#This Row],[Kalkulationsrente]])^-Tidstabel[[#This Row],[År]])*((1+PrisudviklingGenerelt)^Tidstabel[[#This Row],[År]])),BlankTegn)</f>
        <v>.</v>
      </c>
      <c r="BI13" s="245" t="str">
        <f>IFERROR(IF(Tidstabel[[#This Row],[År]]&gt;Input_Tidshorisont,BlankTegn,
IF(Tidstabel[[#This Row],[År]]=0,VS_Enhedspris,SUM(BI12:BJ12)*((1+Tidstabel[[#This Row],[Kalkulationsrente]])^-1)*((1+PrisudviklingGenerelt)^1)-Tidstabel[[#This Row],[VS_Afskrivning]])),BlankTegn)</f>
        <v>.</v>
      </c>
      <c r="BJ13" s="245" t="str">
        <f>IFERROR(IF(Tidstabel[[#This Row],[År]]&gt;Input_Tidshorisont,BlankTegn,
IF(Tidstabel[[#This Row],[År]]=0,0,Tidstabel[[#This Row],[VS_Uds?]]*VS_Enhedspris*((1+Tidstabel[[#This Row],[Kalkulationsrente]])^-Tidstabel[[#This Row],[År]])*((1+PrisudviklingGenerelt)^Tidstabel[[#This Row],[År]]))),BlankTegn)</f>
        <v>.</v>
      </c>
      <c r="BK13" s="262" t="str">
        <f>IFERROR(IF(Tidstabel[[#This Row],[År]]&gt;Input_Tidshorisont,BlankTegn,
IF(Tidstabel[[#This Row],[År]]=0,0,Tidstabel[[#This Row],[VS_Uds?]]*-VS_Enhedspris*VS_Genoprettelse*((1+Tidstabel[[#This Row],[Kalkulationsrente]])^-Tidstabel[[#This Row],[År]])*((1+PrisudviklingGenerelt)^Tidstabel[[#This Row],[År]]))),BlankTegn)</f>
        <v>.</v>
      </c>
      <c r="BL13" s="245">
        <f>IFERROR(IF(Tidstabel[[#This Row],[År]]&gt;Input_Tidshorisont,BlankTegn,
IF(Tidstabel[[#This Row],[År]]=0,-EI_Enhedspris,0)),BlankTegn)</f>
        <v>0</v>
      </c>
      <c r="BM13" s="245" t="str">
        <f>IFERROR(IF(Tidstabel[[#This Row],[År]]&gt;Input_Tidshorisont,BlankTegn,
IF(Tidstabel[[#This Row],[År]]=0,EI_Enhedspris/EI_Levetid,BM12*((1+Tidstabel[[#This Row],[Kalkulationsrente]])^-1)*((1+PrisudviklingGenerelt)^1))),BlankTegn)</f>
        <v>.</v>
      </c>
      <c r="BN13" s="178" t="str">
        <f ca="1">IFERROR(IF(Tidstabel[[#This Row],[År]]&gt;Input_Tidshorisont,BlankTegn,
IF(EI_Vedligehold_i=1,IF(Tidstabel[[#This Row],[EI_Uds?]]=0,1,0),IF(MAX(BN12:OFFSET(BO12,2-EI_Vedligehold_i,0),Tidstabel[[#This Row],[EI_Uds?]])=0,1,0))),BlankTegn)</f>
        <v>.</v>
      </c>
      <c r="BO13" s="178" t="str">
        <f>IFERROR(IF(Tidstabel[[#This Row],[År]]&gt;Input_Tidshorisont,BlankTegn,
IF(Tidstabel[[#This Row],[År]]=0,1,IF(MOD(Tidstabel[[#This Row],[År]],EI_Levetid)=0,1,IF(Tidstabel[[#This Row],[År]]=Input_Tidshorisont,0,0)))),BlankTegn)</f>
        <v>.</v>
      </c>
      <c r="BP13" s="245" t="str">
        <f ca="1">IFERROR(IF(Tidstabel[[#This Row],[År]]&gt;Input_Tidshorisont,BlankTegn,
EI_Vedligehold_p*-EI_Enhedspris*Tidstabel[[#This Row],[EI_Ved?]]*((1+Tidstabel[[#This Row],[Kalkulationsrente]])^-Tidstabel[[#This Row],[År]])*((1+PrisudviklingGenerelt)^Tidstabel[[#This Row],[År]])),BlankTegn)</f>
        <v>.</v>
      </c>
      <c r="BQ13" s="245" t="str">
        <f>IFERROR(IF(Tidstabel[[#This Row],[År]]&gt;Input_Tidshorisont,BlankTegn,
IF(Tidstabel[[#This Row],[År]]=0,EI_Enhedspris,SUM(BQ12:BR12)*((1+Tidstabel[[#This Row],[Kalkulationsrente]])^-1)*((1+PrisudviklingGenerelt)^1)-Tidstabel[[#This Row],[EI_Afskrivning]])),BlankTegn)</f>
        <v>.</v>
      </c>
      <c r="BR13" s="245" t="str">
        <f>IFERROR(IF(Tidstabel[[#This Row],[År]]&gt;Input_Tidshorisont,BlankTegn,
IF(Tidstabel[[#This Row],[År]]=0,0,Tidstabel[[#This Row],[EI_Uds?]]*EI_Enhedspris*((1+Tidstabel[[#This Row],[Kalkulationsrente]])^-Tidstabel[[#This Row],[År]])*((1+PrisudviklingGenerelt)^Tidstabel[[#This Row],[År]]))),BlankTegn)</f>
        <v>.</v>
      </c>
      <c r="BS13" s="262" t="str">
        <f>IFERROR(IF(Tidstabel[[#This Row],[År]]&gt;Input_Tidshorisont,BlankTegn,
IF(Tidstabel[[#This Row],[År]]=0,0,Tidstabel[[#This Row],[EI_Uds?]]*-EI_Enhedspris*EI_Genoprettelse*((1+Tidstabel[[#This Row],[Kalkulationsrente]])^-Tidstabel[[#This Row],[År]])*((1+PrisudviklingGenerelt)^Tidstabel[[#This Row],[År]]))),BlankTegn)</f>
        <v>.</v>
      </c>
      <c r="BT13" s="245">
        <f>IFERROR(IF(Tidstabel[[#This Row],[År]]&gt;Input_Tidshorisont,BlankTegn,
IF(Tidstabel[[#This Row],[År]]=0,-AP_Enhedspris,0)),BlankTegn)</f>
        <v>0</v>
      </c>
      <c r="BU13" s="245" t="str">
        <f>IFERROR(IF(Tidstabel[[#This Row],[År]]&gt;Input_Tidshorisont,BlankTegn,
IF(Tidstabel[[#This Row],[År]]=0,AP_Enhedspris/AP_Levetid,BU12*((1+Tidstabel[[#This Row],[Kalkulationsrente]])^-1)*((1+PrisudviklingGenerelt)^1))),BlankTegn)</f>
        <v>.</v>
      </c>
      <c r="BV13" s="178" t="str">
        <f ca="1">IFERROR(IF(Tidstabel[[#This Row],[År]]&gt;Input_Tidshorisont,BlankTegn,
IF(AP_Vedligehold_i=1,IF(Tidstabel[[#This Row],[AP_Uds?]]=0,1,0),IF(MAX(BV12:OFFSET(BW12,2-AP_Vedligehold_i,0),Tidstabel[[#This Row],[AP_Uds?]])=0,1,0))),BlankTegn)</f>
        <v>.</v>
      </c>
      <c r="BW13" s="178" t="str">
        <f>IFERROR(IF(Tidstabel[[#This Row],[År]]&gt;Input_Tidshorisont,BlankTegn,
IF(Tidstabel[[#This Row],[År]]=0,1,IF(MOD(Tidstabel[[#This Row],[År]],AP_Levetid)=0,1,IF(Tidstabel[[#This Row],[År]]=Input_Tidshorisont,0,0)))),BlankTegn)</f>
        <v>.</v>
      </c>
      <c r="BX13" s="245" t="str">
        <f ca="1">IFERROR(IF(Tidstabel[[#This Row],[År]]&gt;Input_Tidshorisont,BlankTegn,
AP_Vedligehold_p*-AP_Enhedspris*Tidstabel[[#This Row],[AP_Ved?]]*((1+Tidstabel[[#This Row],[Kalkulationsrente]])^-Tidstabel[[#This Row],[År]])*((1+PrisudviklingGenerelt)^Tidstabel[[#This Row],[År]])),BlankTegn)</f>
        <v>.</v>
      </c>
      <c r="BY13" s="245" t="str">
        <f>IFERROR(IF(Tidstabel[[#This Row],[År]]&gt;Input_Tidshorisont,BlankTegn,
IF(Tidstabel[[#This Row],[År]]=0,AP_Enhedspris,SUM(BY12:BZ12)*((1+Tidstabel[[#This Row],[Kalkulationsrente]])^-1)*((1+PrisudviklingGenerelt)^1)-Tidstabel[[#This Row],[AP_Afskrivning]])),BlankTegn)</f>
        <v>.</v>
      </c>
      <c r="BZ13" s="245" t="str">
        <f>IFERROR(IF(Tidstabel[[#This Row],[År]]&gt;Input_Tidshorisont,BlankTegn,
IF(Tidstabel[[#This Row],[År]]=0,0,Tidstabel[[#This Row],[AP_Uds?]]*AP_Enhedspris*((1+Tidstabel[[#This Row],[Kalkulationsrente]])^-Tidstabel[[#This Row],[År]])*((1+PrisudviklingGenerelt)^Tidstabel[[#This Row],[År]]))),BlankTegn)</f>
        <v>.</v>
      </c>
      <c r="CA13" s="262" t="str">
        <f>IFERROR(IF(Tidstabel[[#This Row],[År]]&gt;Input_Tidshorisont,BlankTegn,
IF(Tidstabel[[#This Row],[År]]=0,0,Tidstabel[[#This Row],[AP_Uds?]]*-AP_Enhedspris*AP_Genoprettelse*((1+Tidstabel[[#This Row],[Kalkulationsrente]])^-Tidstabel[[#This Row],[År]])*((1+PrisudviklingGenerelt)^Tidstabel[[#This Row],[År]]))),BlankTegn)</f>
        <v>.</v>
      </c>
      <c r="CB13" s="245">
        <f>IFERROR(IF(Tidstabel[[#This Row],[År]]&gt;Input_Tidshorisont,BlankTegn,
IF(Tidstabel[[#This Row],[År]]=0,-SK_Enhedspris,0)),BlankTegn)</f>
        <v>0</v>
      </c>
      <c r="CC13" s="245" t="str">
        <f>IFERROR(IF(Tidstabel[[#This Row],[År]]&gt;Input_Tidshorisont,BlankTegn,
IF(Tidstabel[[#This Row],[År]]=0,SK_Enhedspris/SK_Levetid,CC12*((1+Tidstabel[[#This Row],[Kalkulationsrente]])^-1)*((1+PrisudviklingGenerelt)^1))),BlankTegn)</f>
        <v>.</v>
      </c>
      <c r="CD13" s="178" t="str">
        <f ca="1">IFERROR(IF(Tidstabel[[#This Row],[År]]&gt;Input_Tidshorisont,BlankTegn,
IF(SK_Vedligehold_i=1,IF(Tidstabel[[#This Row],[SK_Uds?]]=0,1,0),IF(MAX(CD12:OFFSET(CE12,2-SK_Vedligehold_i,0),Tidstabel[[#This Row],[SK_Uds?]])=0,1,0))),BlankTegn)</f>
        <v>.</v>
      </c>
      <c r="CE13" s="178" t="str">
        <f>IFERROR(IF(Tidstabel[[#This Row],[År]]&gt;Input_Tidshorisont,BlankTegn,
IF(Tidstabel[[#This Row],[År]]=0,1,IF(MOD(Tidstabel[[#This Row],[År]],SK_Levetid)=0,1,IF(Tidstabel[[#This Row],[År]]=Input_Tidshorisont,0,0)))),BlankTegn)</f>
        <v>.</v>
      </c>
      <c r="CF13" s="245" t="str">
        <f ca="1">IFERROR(IF(Tidstabel[[#This Row],[År]]&gt;Input_Tidshorisont,BlankTegn,
SK_Vedligehold_p*-SK_Enhedspris*Tidstabel[[#This Row],[SK_Ved?]]*((1+Tidstabel[[#This Row],[Kalkulationsrente]])^-Tidstabel[[#This Row],[År]])*((1+PrisudviklingGenerelt)^Tidstabel[[#This Row],[År]])),BlankTegn)</f>
        <v>.</v>
      </c>
      <c r="CG13" s="245" t="str">
        <f>IFERROR(IF(Tidstabel[[#This Row],[År]]&gt;Input_Tidshorisont,BlankTegn,
IF(Tidstabel[[#This Row],[År]]=0,SK_Enhedspris,SUM(CG12:CH12)*((1+Tidstabel[[#This Row],[Kalkulationsrente]])^-1)*((1+PrisudviklingGenerelt)^1)-Tidstabel[[#This Row],[SK_Afskrivning]])),BlankTegn)</f>
        <v>.</v>
      </c>
      <c r="CH13" s="245" t="str">
        <f>IFERROR(IF(Tidstabel[[#This Row],[År]]&gt;Input_Tidshorisont,BlankTegn,
IF(Tidstabel[[#This Row],[År]]=0,0,Tidstabel[[#This Row],[SK_Uds?]]*SK_Enhedspris*((1+Tidstabel[[#This Row],[Kalkulationsrente]])^-Tidstabel[[#This Row],[År]])*((1+PrisudviklingGenerelt)^Tidstabel[[#This Row],[År]]))),BlankTegn)</f>
        <v>.</v>
      </c>
      <c r="CI13" s="262" t="str">
        <f>IFERROR(IF(Tidstabel[[#This Row],[År]]&gt;Input_Tidshorisont,BlankTegn,
IF(Tidstabel[[#This Row],[År]]=0,0,Tidstabel[[#This Row],[SK_Uds?]]*-SK_Enhedspris*SK_Genoprettelse*((1+Tidstabel[[#This Row],[Kalkulationsrente]])^-Tidstabel[[#This Row],[År]])*((1+PrisudviklingGenerelt)^Tidstabel[[#This Row],[År]]))),BlankTegn)</f>
        <v>.</v>
      </c>
      <c r="CJ13" s="19"/>
    </row>
    <row r="14" spans="1:88">
      <c r="A14" s="250">
        <v>7</v>
      </c>
      <c r="B14" s="250">
        <f>Input_Etableringsår+Tidstabel[[#This Row],[År]]</f>
        <v>2031</v>
      </c>
      <c r="C14" s="274" cm="1">
        <f t="array" ref="C14">_xlfn.IFS(Tidstabel[[#This Row],[År]]&gt;KR_Trin3_Tærskel,KR_Trin3_Rente,Tidstabel[[#This Row],[År]]&gt;KR_Trin2_Tærskel,KR_Trin2_Rente,Tidstabel[[#This Row],[År]]&gt;KR_Trin1_Tærskel,KR_Trin1_Rente,Tidstabel[[#This Row],[År]]&gt;KR_Trin0_Tærskel,KR_Trin0_Rente)</f>
        <v>3.5000000000000003E-2</v>
      </c>
      <c r="D14" s="142" t="str" cm="1">
        <f t="array" ref="D14">IFERROR(
INDEX(Range_Materiale_ÅrligeEmissioner,MATCH(1,(Materialedata[Komponent]=FB_Titel)*(Materialedata[Materiale]=FB_Materiale),0),MATCH(Tidstabel[[#This Row],[År]],Range_Materiale_År,0)),BlankTegn)</f>
        <v>.</v>
      </c>
      <c r="E14" s="142" t="str" cm="1">
        <f t="array" ref="E14">IFERROR(
INDEX(Range_Materiale_ÅrligeEmissioner,MATCH(1,(Materialedata[Komponent]=SK_Titel)*(Materialedata[Materiale]=SK_Materiale),0),MATCH(Tidstabel[[#This Row],[År]],Range_Materiale_År,0)),BlankTegn)</f>
        <v>.</v>
      </c>
      <c r="F14" s="142" t="str" cm="1">
        <f t="array" ref="F14">IFERROR(
INDEX(Range_Materiale_ÅrligeEmissioner,MATCH(1,(Materialedata[Komponent]=EI_Titel)*(Materialedata[Materiale]=EI_Materiale),0),MATCH(Tidstabel[[#This Row],[År]],Range_Materiale_År,0)),BlankTegn)</f>
        <v>.</v>
      </c>
      <c r="G14" s="142" t="str" cm="1">
        <f t="array" ref="G14">IFERROR(
INDEX(Range_Materiale_ÅrligeEmissioner,MATCH(1,(Materialedata[Komponent]=AP_Titel)*(Materialedata[Materiale]=AP_Materiale),0),MATCH(Tidstabel[[#This Row],[År]],Range_Materiale_År,0)),BlankTegn)</f>
        <v>.</v>
      </c>
      <c r="H14" s="142" t="str" cm="1">
        <f t="array" ref="H14">IFERROR(
INDEX(Range_Materiale_ÅrligeEmissioner,MATCH(1,(Materialedata[Komponent]=VS_Titel)*(Materialedata[Materiale]=VS_Materiale),0),MATCH(Tidstabel[[#This Row],[År]],Range_Materiale_År,0)),BlankTegn)</f>
        <v>.</v>
      </c>
      <c r="I14" s="142" t="str">
        <f>IFERROR(
IF(SUM(Tidstabel[[#This Row],[Facadebeklædning]:[Vindspærre]])=0,BlankTegn,
SUM(Tidstabel[[#This Row],[Facadebeklædning]:[Vindspærre]])),BlankTegn)</f>
        <v>.</v>
      </c>
      <c r="J14" s="139">
        <f>IF(Tidstabel[[#This Row],[År]]&gt;Input_Tidshorisont,BlankTegn,
A5_ElVarmeBrændstofByggeplads)</f>
        <v>0.25</v>
      </c>
      <c r="K14" s="142" t="str">
        <f>IFERROR(IF(Tidstabel[[#This Row],[År]]&gt;Input_Tidshorisont,BlankTegn,
-1*INDEX(Range_Energi_ÅrligBesparelse,MATCH(Input_EksisterendeFacade,Energiberegning[Ydervæg],0),MATCH(Tidstabel[[#This Row],[Årstal]],Range_Energi_Årstal,0))),BlankTegn)</f>
        <v>.</v>
      </c>
      <c r="L14" s="142">
        <f>IF(Tidstabel[[#This Row],[År]]&gt;Input_Tidshorisont,BlankTegn,
(Tidstabel[[#This Row],[År]]+1)*(SUM(Vedligeholdelsesmaterialer[Facadefarve],Vedligeholdelsesmaterialer[Grunder og mellemmaling])/12+SUM(Vedligeholdelsesmaterialer[Puds])/30))</f>
        <v>2.5988342866666665</v>
      </c>
      <c r="M14" s="142" t="str">
        <f>IFERROR(IF(Tidstabel[[#This Row],[År]]&gt;Input_Tidshorisont,BlankTegn,
Tidstabel[[#This Row],[Materialer_Total]]+Tidstabel[[#This Row],[Byggeprocess]]),BlankTegn)</f>
        <v>.</v>
      </c>
      <c r="N14" s="142" t="str">
        <f>IFERROR(IF(Tidstabel[[#This Row],[År]]&gt;Input_Tidshorisont,BlankTegn,
Tidstabel[[#This Row],[Energibesparelse]]+Tidstabel[[#This Row],[Emission_Brutto]]),BlankTegn)</f>
        <v>.</v>
      </c>
      <c r="O14" s="142" t="str">
        <f>IFERROR(IF(Tidstabel[[#This Row],[År]]&gt;Input_Tidshorisont,BlankTegn,
Tidstabel[[#This Row],[Emission_Netto]]-Tidstabel[[#This Row],[Vedligehold_EksisterendeFacade]]),BlankTegn)</f>
        <v>.</v>
      </c>
      <c r="P14" s="271" t="str">
        <f>IFERROR(IF(Tidstabel[[#This Row],[År]]&gt;Input_Tidshorisont,BlankTegn,
IF(AND(Tidstabel[[#This Row],[Emission_Netto]]-Tidstabel[[#This Row],[Vedligehold_EksisterendeFacade]]&gt;0,N15-L15&lt;0),-1,IF(AND(Tidstabel[[#This Row],[Emission_Netto]]-Tidstabel[[#This Row],[Vedligehold_EksisterendeFacade]]&lt;0,N15-L15&gt;0),1,0))),BlankTegn)</f>
        <v>.</v>
      </c>
      <c r="Q14" s="174" t="str">
        <f>IF(Tidstabel[[#This Row],[År]]&gt;Input_Tidshorisont,BlankTegn,
IF(Tidstabel[[#This Row],[LCA-Skæring]]=-1,SUM(Tidstabel[[#This Row],[År]]*(1-ABS(Tidstabel[[#This Row],[LCA-Difference]])/(ABS(Tidstabel[[#This Row],[LCA-Difference]])+ABS(O15))),A15*(1-ABS(O15)/(ABS(Tidstabel[[#This Row],[LCA-Difference]])+ABS(O15)))),"-"))</f>
        <v>-</v>
      </c>
      <c r="R14" s="174" t="str">
        <f>IF(Tidstabel[[#This Row],[År]]&gt;Input_Tidshorisont,BlankTegn,
IF(Tidstabel[[#This Row],[LCA-Skæring]]=-1,SUM(Tidstabel[[#This Row],[Emission_Netto]]*(1-ABS(Tidstabel[[#This Row],[LCA-Difference]])/(ABS(Tidstabel[[#This Row],[LCA-Difference]])+ABS(O15))),N15*(1-ABS(O15)/(ABS(Tidstabel[[#This Row],[LCA-Difference]])+ABS(O15)))),"-"))</f>
        <v>-</v>
      </c>
      <c r="S14" s="174" t="str">
        <f>IF(Tidstabel[[#This Row],[År]]&gt;Input_Tidshorisont,BlankTegn,
IF(Tidstabel[[#This Row],[LCA-Skæring]]=1,SUM(Tidstabel[[#This Row],[År]]*(1-ABS(Tidstabel[[#This Row],[LCA-Difference]])/(ABS(Tidstabel[[#This Row],[LCA-Difference]])+ABS(O15))),A15*(1-ABS(O15)/(ABS(Tidstabel[[#This Row],[LCA-Difference]])+ABS(O15)))),"-"))</f>
        <v>-</v>
      </c>
      <c r="T14" s="264" t="str">
        <f>IF(Tidstabel[[#This Row],[År]]&gt;Input_Tidshorisont,BlankTegn,
IF(Tidstabel[[#This Row],[LCA-Skæring]]=1,SUM(Tidstabel[[#This Row],[Emission_Netto]]*(1-ABS(Tidstabel[[#This Row],[LCA-Difference]])/(ABS(Tidstabel[[#This Row],[LCA-Difference]])+ABS(O15))),N15*(1-ABS(O15)/(ABS(Tidstabel[[#This Row],[LCA-Difference]])+ABS(O15)))),"-"))</f>
        <v>-</v>
      </c>
      <c r="U14" s="142" t="str">
        <f ca="1">IFERROR(IF(Tidstabel[[#This Row],[År]]&gt;Input_Tidshorisont,BlankTegn,
Tidstabel[[#This Row],[NPV_Klimafacade]]-Tidstabel[[#This Row],[NPV_Eksisterende]]),BlankTegn)</f>
        <v>.</v>
      </c>
      <c r="V14" s="271" t="str">
        <f ca="1">IFERROR(IF(Tidstabel[[#This Row],[År]]&gt;Input_Tidshorisont,BlankTegn,
IF(AND(Tidstabel[[#This Row],[NPV_Klimafacade]]-Tidstabel[[#This Row],[NPV_Eksisterende]]&gt;0,AB15-AA15&lt;0),1,IF(AND(Tidstabel[[#This Row],[NPV_Klimafacade]]-Tidstabel[[#This Row],[NPV_Eksisterende]]&lt;0,AB15-AA15&gt;0),-1,0))),BlankTegn)</f>
        <v>.</v>
      </c>
      <c r="W14" s="174" t="str">
        <f ca="1">IF(Tidstabel[[#This Row],[År]]&gt;Input_Tidshorisont,BlankTegn,
IF(Tidstabel[[#This Row],[LCC-Skæring]]=-1,SUM(Tidstabel[[#This Row],[År]]*(1-ABS(Tidstabel[[#This Row],[LCC-Difference]])/(ABS(Tidstabel[[#This Row],[LCC-Difference]])+ABS(U15))),A15*(1-ABS(U15)/(ABS(Tidstabel[[#This Row],[LCC-Difference]])+ABS(U15)))),"-"))</f>
        <v>-</v>
      </c>
      <c r="X14" s="174" t="str">
        <f ca="1">IF(Tidstabel[[#This Row],[År]]&gt;Input_Tidshorisont,BlankTegn,
IF(Tidstabel[[#This Row],[LCC-Skæring]]=-1,SUM(Tidstabel[[#This Row],[NPV_Klimafacade]]*(1-ABS(Tidstabel[[#This Row],[LCC-Difference]])/(ABS(Tidstabel[[#This Row],[LCC-Difference]])+ABS(U15))),AB15*(1-ABS(U15)/(ABS(Tidstabel[[#This Row],[LCC-Difference]])+ABS(U15)))),"-"))</f>
        <v>-</v>
      </c>
      <c r="Y14" s="174" t="str">
        <f ca="1">IF(Tidstabel[[#This Row],[År]]&gt;Input_Tidshorisont,BlankTegn,
IF(Tidstabel[[#This Row],[LCC-Skæring]]=1,SUM(Tidstabel[[#This Row],[År]]*(1-ABS(Tidstabel[[#This Row],[LCC-Difference]])/(ABS(Tidstabel[[#This Row],[LCC-Difference]])+ABS(U15))),A15*(1-ABS(U15)/(ABS(Tidstabel[[#This Row],[LCC-Difference]])+ABS(U15)))),"-"))</f>
        <v>-</v>
      </c>
      <c r="Z14" s="264" t="str">
        <f ca="1">IF(Tidstabel[[#This Row],[År]]&gt;Input_Tidshorisont,BlankTegn,
IF(Tidstabel[[#This Row],[LCC-Skæring]]=1,SUM(Tidstabel[[#This Row],[NPV_Klimafacade]]*(1-ABS(Tidstabel[[#This Row],[LCC-Difference]])/(ABS(Tidstabel[[#This Row],[LCC-Difference]])+ABS(U15))),AB15*(1-ABS(U15)/(ABS(Tidstabel[[#This Row],[LCC-Difference]])+ABS(U15)))),"-"))</f>
        <v>-</v>
      </c>
      <c r="AA14" s="142">
        <f ca="1">IF(Tidstabel[[#This Row],[År]]&gt;Input_Tidshorisont,BlankTegn,
Tidstabel[[#This Row],[EF_Vedligehold_Aggregeret]])</f>
        <v>-75.757681182561129</v>
      </c>
      <c r="AB14"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14" s="142" t="str">
        <f>IFERROR(IF(Tidstabel[[#This Row],[År]]&gt;Input_Tidshorisont,BlankTegn,
Tidstabel[[#This Row],[KF_Anskaffelse_Aggregeret]]+Tidstabel[[#This Row],[KF_Engangsudgifter_Aggregeret]]),BlankTegn)</f>
        <v>.</v>
      </c>
      <c r="AD14" s="174">
        <f ca="1">IFERROR(IF(Tidstabel[[#This Row],[År]]&gt;Input_Tidshorisont,BlankTegn,
IF(Tidstabel[[#This Row],[År]]=0,0,Tidstabel[[#This Row],[NPV_Eksisterende]]*(Tidstabel[[#This Row],[Kalkulationsrente]]/(1-(1+Tidstabel[[#This Row],[Kalkulationsrente]])^-Tidstabel[[#This Row],[År]])))),BlankTegn)</f>
        <v>-12.389751619193232</v>
      </c>
      <c r="AE14" s="264" t="str">
        <f ca="1">IFERROR(IF(Tidstabel[[#This Row],[År]]&gt;Input_Tidshorisont,BlankTegn,
IF(Tidstabel[[#This Row],[År]]=0,0,Tidstabel[[#This Row],[NPV_Klimafacade]]*(Tidstabel[[#This Row],[Kalkulationsrente]]/(1-(1+Tidstabel[[#This Row],[Kalkulationsrente]])^-Tidstabel[[#This Row],[År]])))),BlankTegn)</f>
        <v>.</v>
      </c>
      <c r="AF14" s="270">
        <f ca="1">IF(Tidstabel[[#This Row],[År]]&gt;Input_Tidshorisont,BlankTegn,
IF(EF_Vedligehold_i=1,IF(Tidstabel[[#This Row],[EF_Uds?]]=0,1,0),IF(MAX(AF13:OFFSET(AG13,2-EF_Vedligehold_i,0),Tidstabel[[#This Row],[EF_Uds?]])=0,1,0)))</f>
        <v>1</v>
      </c>
      <c r="AG14" s="181">
        <f>IF(Tidstabel[[#This Row],[År]]&gt;Input_Tidshorisont,BlankTegn,0)</f>
        <v>0</v>
      </c>
      <c r="AH14" s="263">
        <f ca="1">IF(Tidstabel[[#This Row],[År]]&gt;Input_Tidshorisont,BlankTegn,
Tidstabel[[#This Row],[EF_Ved?]]*EF_Vedligehold_p*-EF_Enhedspris*((1+Tidstabel[[#This Row],[Kalkulationsrente]])^-Tidstabel[[#This Row],[År]])*((1+PrisudviklingGenerelt)^Tidstabel[[#This Row],[År]]))</f>
        <v>-8.3694545673453451</v>
      </c>
      <c r="AI14" s="262">
        <f ca="1">IF(Tidstabel[[#This Row],[År]]&gt;Input_Tidshorisont,BlankTegn,
IF(Tidstabel[[#This Row],[År]]=0,Tidstabel[[#This Row],[EF_Vedligehold]],AI13+Tidstabel[[#This Row],[EF_Vedligehold]]))</f>
        <v>-75.757681182561129</v>
      </c>
      <c r="AJ14" s="245">
        <f>IFERROR(IF(Tidstabel[[#This Row],[År]]&gt;Input_Tidshorisont,BlankTegn,
Tidstabel[[#This Row],[FB_Anskaffelse]]+Tidstabel[[#This Row],[VS_Anskaffelse]]+Tidstabel[[#This Row],[EI_Anskaffelse]]+Tidstabel[[#This Row],[AP_Anskaffelse]]+Tidstabel[[#This Row],[SK_Anskaffelse]]),BlankTegn)</f>
        <v>0</v>
      </c>
      <c r="AK14" s="245" t="str">
        <f>IFERROR(IF(Tidstabel[[#This Row],[År]]&gt;Input_Tidshorisont,BlankTegn,
IF(Tidstabel[[#This Row],[År]]=0,Tidstabel[[#This Row],[KF_Anskaffelse]],AK13+Tidstabel[[#This Row],[KF_Anskaffelse]])),BlankTegn)</f>
        <v>.</v>
      </c>
      <c r="AL14" s="246" t="str">
        <f ca="1">IFERROR(IF(Tidstabel[[#This Row],[År]]&gt;Input_Tidshorisont,BlankTegn,
Tidstabel[[#This Row],[FB_Vedligehold]]+Tidstabel[[#This Row],[VS_Vedligehold]]+Tidstabel[[#This Row],[EI_Vedligehold]]+Tidstabel[[#This Row],[AP_Vedligehold]]+Tidstabel[[#This Row],[SK_Vedligehold]]),BlankTegn)</f>
        <v>.</v>
      </c>
      <c r="AM14" s="245" t="str">
        <f ca="1">IFERROR(IF(Tidstabel[[#This Row],[År]]&gt;Input_Tidshorisont,BlankTegn,
IF(Tidstabel[[#This Row],[År]]=0,Tidstabel[[#This Row],[KF_Vedligehold]],AM13+Tidstabel[[#This Row],[KF_Vedligehold]])),BlankTegn)</f>
        <v>.</v>
      </c>
      <c r="AN14"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14"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14" s="245" t="str">
        <f>IFERROR(IF(Tidstabel[[#This Row],[År]]&gt;Input_Tidshorisont,BlankTegn,
IF(Tidstabel[[#This Row],[År]]=0,Tidstabel[[#This Row],[KF_Udskiftning_Komponent]],AP13+Tidstabel[[#This Row],[KF_Udskiftning_Komponent]])),BlankTegn)</f>
        <v>.</v>
      </c>
      <c r="AQ14" s="245">
        <f>IF(Tidstabel[[#This Row],[År]]&gt;Input_Tidshorisont,BlankTegn,
IF(Tidstabel[[#This Row],[År]]=0,-SUM(Engangsudgifter[Udgift]),0))</f>
        <v>0</v>
      </c>
      <c r="AR14" s="245">
        <f>IFERROR(IF(Tidstabel[[#This Row],[År]]&gt;Input_Tidshorisont,BlankTegn,
IF(Tidstabel[[#This Row],[År]]=0,Tidstabel[[#This Row],[KF_Engangsudgifter]],AR13+Tidstabel[[#This Row],[KF_Engangsudgifter]])),BlankTegn)</f>
        <v>0</v>
      </c>
      <c r="AS14" s="315" t="str">
        <f>IFERROR(IF(Tidstabel[[#This Row],[År]]&gt;Input_Tidshorisont,BlankTegn,
-Energibesparelse_Årlig),BlankTegn)</f>
        <v>.</v>
      </c>
      <c r="AT14" s="245" t="str">
        <f>IFERROR(IF(Tidstabel[[#This Row],[År]]&gt;Input_Tidshorisont,BlankTegn,
IF(Tidstabel[[#This Row],[År]]=0,0,-Tidstabel[[#This Row],[KF_Energiforbrug]]*Input_Fjernvarmepris*((1+Tidstabel[[#This Row],[Kalkulationsrente]])^-Tidstabel[[#This Row],[År]])*((1+PrisudviklingFjernvarme)^Tidstabel[[#This Row],[År]]))),BlankTegn)</f>
        <v>.</v>
      </c>
      <c r="AU14" s="262" t="str">
        <f>IFERROR(IF(Tidstabel[[#This Row],[År]]&gt;Input_Tidshorisont,BlankTegn,
IF(Tidstabel[[#This Row],[År]]=0,Tidstabel[[#This Row],[KF_Forsyning]],AU13+Tidstabel[[#This Row],[KF_Forsyning]])),BlankTegn)</f>
        <v>.</v>
      </c>
      <c r="AV14" s="245">
        <f>IFERROR(IF(Tidstabel[[#This Row],[År]]&gt;Input_Tidshorisont,BlankTegn,
IF(Tidstabel[[#This Row],[År]]=0,-FB_Enhedspris,0)),BlankTegn)</f>
        <v>0</v>
      </c>
      <c r="AW14" s="245" t="str">
        <f>IFERROR(IF(Tidstabel[[#This Row],[År]]&gt;Input_Tidshorisont,BlankTegn,
IF(Tidstabel[[#This Row],[År]]=0,FB_Enhedspris/FB_Levetid,AW13*((1+Tidstabel[[#This Row],[Kalkulationsrente]])^-1)*((1+PrisudviklingGenerelt)^1))),BlankTegn)</f>
        <v>.</v>
      </c>
      <c r="AX14" s="178" t="str">
        <f ca="1">IFERROR(IF(Tidstabel[[#This Row],[År]]&gt;Input_Tidshorisont,BlankTegn,
IF(FB_Vedligehold_i=1,IF(Tidstabel[[#This Row],[FB_Uds?]]=0,1,0),IF(MAX(AX13:OFFSET(AY13,2-FB_Vedligehold_i,0),Tidstabel[[#This Row],[FB_Uds?]])=0,1,0))),BlankTegn)</f>
        <v>.</v>
      </c>
      <c r="AY14" s="178" t="str">
        <f>IFERROR(IF(Tidstabel[[#This Row],[År]]&gt;Input_Tidshorisont,BlankTegn,
IF(Tidstabel[[#This Row],[År]]=0,1,IF(MOD(Tidstabel[[#This Row],[År]],FB_Levetid)=0,1,IF(Tidstabel[[#This Row],[År]]=Input_Tidshorisont,0,0)))),BlankTegn)</f>
        <v>.</v>
      </c>
      <c r="AZ14" s="245" t="str">
        <f ca="1">IFERROR(IF(Tidstabel[[#This Row],[År]]&gt;Input_Tidshorisont,BlankTegn,
FB_Vedligehold_p*-FB_Enhedspris*Tidstabel[[#This Row],[FB_Ved?]]*((1+Tidstabel[[#This Row],[Kalkulationsrente]])^-Tidstabel[[#This Row],[År]])*((1+PrisudviklingGenerelt)^Tidstabel[[#This Row],[År]])),BlankTegn)</f>
        <v>.</v>
      </c>
      <c r="BA14" s="245" t="str">
        <f>IFERROR(IF(Tidstabel[[#This Row],[År]]&gt;Input_Tidshorisont,BlankTegn,
IF(Tidstabel[[#This Row],[År]]=0,FB_Enhedspris,SUM(BA13:BB13)*((1+Tidstabel[[#This Row],[Kalkulationsrente]])^-1)*((1+PrisudviklingGenerelt)^1)-Tidstabel[[#This Row],[FB_Afskrivning]])),BlankTegn)</f>
        <v>.</v>
      </c>
      <c r="BB14" s="245" t="str">
        <f>IFERROR(IF(Tidstabel[[#This Row],[År]]&gt;Input_Tidshorisont,BlankTegn,
IF(Tidstabel[[#This Row],[År]]=0,0,Tidstabel[[#This Row],[FB_Uds?]]*FB_Enhedspris*((1+Tidstabel[[#This Row],[Kalkulationsrente]])^-Tidstabel[[#This Row],[År]])*((1+PrisudviklingGenerelt)^Tidstabel[[#This Row],[År]]))),BlankTegn)</f>
        <v>.</v>
      </c>
      <c r="BC14" s="262" t="str">
        <f>IFERROR(IF(Tidstabel[[#This Row],[År]]&gt;Input_Tidshorisont,BlankTegn,
IF(Tidstabel[[#This Row],[År]]=0,0,Tidstabel[[#This Row],[FB_Uds?]]*-FB_Enhedspris*FB_Genoprettelse*((1+Tidstabel[[#This Row],[Kalkulationsrente]])^-Tidstabel[[#This Row],[År]])*((1+PrisudviklingGenerelt)^Tidstabel[[#This Row],[År]]))),BlankTegn)</f>
        <v>.</v>
      </c>
      <c r="BD14" s="245">
        <f>IFERROR(IF(Tidstabel[[#This Row],[År]]&gt;Input_Tidshorisont,BlankTegn,
IF(Tidstabel[[#This Row],[År]]=0,-VS_Enhedspris,0)),BlankTegn)</f>
        <v>0</v>
      </c>
      <c r="BE14" s="245" t="str">
        <f>IFERROR(IF(Tidstabel[[#This Row],[År]]&gt;Input_Tidshorisont,BlankTegn,
IF(Tidstabel[[#This Row],[År]]=0,VS_Enhedspris/VS_Levetid,BE13*((1+Tidstabel[[#This Row],[Kalkulationsrente]])^-1)*((1+PrisudviklingGenerelt)^1))),BlankTegn)</f>
        <v>.</v>
      </c>
      <c r="BF14" s="178" t="str">
        <f ca="1">IFERROR(IF(Tidstabel[[#This Row],[År]]&gt;Input_Tidshorisont,BlankTegn,
IF(VS_Vedligehold_i=1,IF(Tidstabel[[#This Row],[VS_Uds?]]=0,1,0),IF(MAX(BF13:OFFSET(BG13,2-VS_Vedligehold_i,0),Tidstabel[[#This Row],[VS_Uds?]])=0,1,0))),BlankTegn)</f>
        <v>.</v>
      </c>
      <c r="BG14" s="178" t="str">
        <f>IFERROR(IF(Tidstabel[[#This Row],[År]]&gt;Input_Tidshorisont,BlankTegn,
IF(Tidstabel[[#This Row],[År]]=0,1,IF(MOD(Tidstabel[[#This Row],[År]],VS_Levetid)=0,1,IF(Tidstabel[[#This Row],[År]]=Input_Tidshorisont,0,0)))),BlankTegn)</f>
        <v>.</v>
      </c>
      <c r="BH14" s="245" t="str">
        <f ca="1">IFERROR(IF(Tidstabel[[#This Row],[År]]&gt;Input_Tidshorisont,BlankTegn,
VS_Vedligehold_p*-VS_Enhedspris*Tidstabel[[#This Row],[VS_Ved?]]*((1+Tidstabel[[#This Row],[Kalkulationsrente]])^-Tidstabel[[#This Row],[År]])*((1+PrisudviklingGenerelt)^Tidstabel[[#This Row],[År]])),BlankTegn)</f>
        <v>.</v>
      </c>
      <c r="BI14" s="245" t="str">
        <f>IFERROR(IF(Tidstabel[[#This Row],[År]]&gt;Input_Tidshorisont,BlankTegn,
IF(Tidstabel[[#This Row],[År]]=0,VS_Enhedspris,SUM(BI13:BJ13)*((1+Tidstabel[[#This Row],[Kalkulationsrente]])^-1)*((1+PrisudviklingGenerelt)^1)-Tidstabel[[#This Row],[VS_Afskrivning]])),BlankTegn)</f>
        <v>.</v>
      </c>
      <c r="BJ14" s="245" t="str">
        <f>IFERROR(IF(Tidstabel[[#This Row],[År]]&gt;Input_Tidshorisont,BlankTegn,
IF(Tidstabel[[#This Row],[År]]=0,0,Tidstabel[[#This Row],[VS_Uds?]]*VS_Enhedspris*((1+Tidstabel[[#This Row],[Kalkulationsrente]])^-Tidstabel[[#This Row],[År]])*((1+PrisudviklingGenerelt)^Tidstabel[[#This Row],[År]]))),BlankTegn)</f>
        <v>.</v>
      </c>
      <c r="BK14" s="262" t="str">
        <f>IFERROR(IF(Tidstabel[[#This Row],[År]]&gt;Input_Tidshorisont,BlankTegn,
IF(Tidstabel[[#This Row],[År]]=0,0,Tidstabel[[#This Row],[VS_Uds?]]*-VS_Enhedspris*VS_Genoprettelse*((1+Tidstabel[[#This Row],[Kalkulationsrente]])^-Tidstabel[[#This Row],[År]])*((1+PrisudviklingGenerelt)^Tidstabel[[#This Row],[År]]))),BlankTegn)</f>
        <v>.</v>
      </c>
      <c r="BL14" s="245">
        <f>IFERROR(IF(Tidstabel[[#This Row],[År]]&gt;Input_Tidshorisont,BlankTegn,
IF(Tidstabel[[#This Row],[År]]=0,-EI_Enhedspris,0)),BlankTegn)</f>
        <v>0</v>
      </c>
      <c r="BM14" s="245" t="str">
        <f>IFERROR(IF(Tidstabel[[#This Row],[År]]&gt;Input_Tidshorisont,BlankTegn,
IF(Tidstabel[[#This Row],[År]]=0,EI_Enhedspris/EI_Levetid,BM13*((1+Tidstabel[[#This Row],[Kalkulationsrente]])^-1)*((1+PrisudviklingGenerelt)^1))),BlankTegn)</f>
        <v>.</v>
      </c>
      <c r="BN14" s="178" t="str">
        <f ca="1">IFERROR(IF(Tidstabel[[#This Row],[År]]&gt;Input_Tidshorisont,BlankTegn,
IF(EI_Vedligehold_i=1,IF(Tidstabel[[#This Row],[EI_Uds?]]=0,1,0),IF(MAX(BN13:OFFSET(BO13,2-EI_Vedligehold_i,0),Tidstabel[[#This Row],[EI_Uds?]])=0,1,0))),BlankTegn)</f>
        <v>.</v>
      </c>
      <c r="BO14" s="178" t="str">
        <f>IFERROR(IF(Tidstabel[[#This Row],[År]]&gt;Input_Tidshorisont,BlankTegn,
IF(Tidstabel[[#This Row],[År]]=0,1,IF(MOD(Tidstabel[[#This Row],[År]],EI_Levetid)=0,1,IF(Tidstabel[[#This Row],[År]]=Input_Tidshorisont,0,0)))),BlankTegn)</f>
        <v>.</v>
      </c>
      <c r="BP14" s="245" t="str">
        <f ca="1">IFERROR(IF(Tidstabel[[#This Row],[År]]&gt;Input_Tidshorisont,BlankTegn,
EI_Vedligehold_p*-EI_Enhedspris*Tidstabel[[#This Row],[EI_Ved?]]*((1+Tidstabel[[#This Row],[Kalkulationsrente]])^-Tidstabel[[#This Row],[År]])*((1+PrisudviklingGenerelt)^Tidstabel[[#This Row],[År]])),BlankTegn)</f>
        <v>.</v>
      </c>
      <c r="BQ14" s="245" t="str">
        <f>IFERROR(IF(Tidstabel[[#This Row],[År]]&gt;Input_Tidshorisont,BlankTegn,
IF(Tidstabel[[#This Row],[År]]=0,EI_Enhedspris,SUM(BQ13:BR13)*((1+Tidstabel[[#This Row],[Kalkulationsrente]])^-1)*((1+PrisudviklingGenerelt)^1)-Tidstabel[[#This Row],[EI_Afskrivning]])),BlankTegn)</f>
        <v>.</v>
      </c>
      <c r="BR14" s="245" t="str">
        <f>IFERROR(IF(Tidstabel[[#This Row],[År]]&gt;Input_Tidshorisont,BlankTegn,
IF(Tidstabel[[#This Row],[År]]=0,0,Tidstabel[[#This Row],[EI_Uds?]]*EI_Enhedspris*((1+Tidstabel[[#This Row],[Kalkulationsrente]])^-Tidstabel[[#This Row],[År]])*((1+PrisudviklingGenerelt)^Tidstabel[[#This Row],[År]]))),BlankTegn)</f>
        <v>.</v>
      </c>
      <c r="BS14" s="262" t="str">
        <f>IFERROR(IF(Tidstabel[[#This Row],[År]]&gt;Input_Tidshorisont,BlankTegn,
IF(Tidstabel[[#This Row],[År]]=0,0,Tidstabel[[#This Row],[EI_Uds?]]*-EI_Enhedspris*EI_Genoprettelse*((1+Tidstabel[[#This Row],[Kalkulationsrente]])^-Tidstabel[[#This Row],[År]])*((1+PrisudviklingGenerelt)^Tidstabel[[#This Row],[År]]))),BlankTegn)</f>
        <v>.</v>
      </c>
      <c r="BT14" s="245">
        <f>IFERROR(IF(Tidstabel[[#This Row],[År]]&gt;Input_Tidshorisont,BlankTegn,
IF(Tidstabel[[#This Row],[År]]=0,-AP_Enhedspris,0)),BlankTegn)</f>
        <v>0</v>
      </c>
      <c r="BU14" s="245" t="str">
        <f>IFERROR(IF(Tidstabel[[#This Row],[År]]&gt;Input_Tidshorisont,BlankTegn,
IF(Tidstabel[[#This Row],[År]]=0,AP_Enhedspris/AP_Levetid,BU13*((1+Tidstabel[[#This Row],[Kalkulationsrente]])^-1)*((1+PrisudviklingGenerelt)^1))),BlankTegn)</f>
        <v>.</v>
      </c>
      <c r="BV14" s="178" t="str">
        <f ca="1">IFERROR(IF(Tidstabel[[#This Row],[År]]&gt;Input_Tidshorisont,BlankTegn,
IF(AP_Vedligehold_i=1,IF(Tidstabel[[#This Row],[AP_Uds?]]=0,1,0),IF(MAX(BV13:OFFSET(BW13,2-AP_Vedligehold_i,0),Tidstabel[[#This Row],[AP_Uds?]])=0,1,0))),BlankTegn)</f>
        <v>.</v>
      </c>
      <c r="BW14" s="178" t="str">
        <f>IFERROR(IF(Tidstabel[[#This Row],[År]]&gt;Input_Tidshorisont,BlankTegn,
IF(Tidstabel[[#This Row],[År]]=0,1,IF(MOD(Tidstabel[[#This Row],[År]],AP_Levetid)=0,1,IF(Tidstabel[[#This Row],[År]]=Input_Tidshorisont,0,0)))),BlankTegn)</f>
        <v>.</v>
      </c>
      <c r="BX14" s="245" t="str">
        <f ca="1">IFERROR(IF(Tidstabel[[#This Row],[År]]&gt;Input_Tidshorisont,BlankTegn,
AP_Vedligehold_p*-AP_Enhedspris*Tidstabel[[#This Row],[AP_Ved?]]*((1+Tidstabel[[#This Row],[Kalkulationsrente]])^-Tidstabel[[#This Row],[År]])*((1+PrisudviklingGenerelt)^Tidstabel[[#This Row],[År]])),BlankTegn)</f>
        <v>.</v>
      </c>
      <c r="BY14" s="245" t="str">
        <f>IFERROR(IF(Tidstabel[[#This Row],[År]]&gt;Input_Tidshorisont,BlankTegn,
IF(Tidstabel[[#This Row],[År]]=0,AP_Enhedspris,SUM(BY13:BZ13)*((1+Tidstabel[[#This Row],[Kalkulationsrente]])^-1)*((1+PrisudviklingGenerelt)^1)-Tidstabel[[#This Row],[AP_Afskrivning]])),BlankTegn)</f>
        <v>.</v>
      </c>
      <c r="BZ14" s="245" t="str">
        <f>IFERROR(IF(Tidstabel[[#This Row],[År]]&gt;Input_Tidshorisont,BlankTegn,
IF(Tidstabel[[#This Row],[År]]=0,0,Tidstabel[[#This Row],[AP_Uds?]]*AP_Enhedspris*((1+Tidstabel[[#This Row],[Kalkulationsrente]])^-Tidstabel[[#This Row],[År]])*((1+PrisudviklingGenerelt)^Tidstabel[[#This Row],[År]]))),BlankTegn)</f>
        <v>.</v>
      </c>
      <c r="CA14" s="262" t="str">
        <f>IFERROR(IF(Tidstabel[[#This Row],[År]]&gt;Input_Tidshorisont,BlankTegn,
IF(Tidstabel[[#This Row],[År]]=0,0,Tidstabel[[#This Row],[AP_Uds?]]*-AP_Enhedspris*AP_Genoprettelse*((1+Tidstabel[[#This Row],[Kalkulationsrente]])^-Tidstabel[[#This Row],[År]])*((1+PrisudviklingGenerelt)^Tidstabel[[#This Row],[År]]))),BlankTegn)</f>
        <v>.</v>
      </c>
      <c r="CB14" s="245">
        <f>IFERROR(IF(Tidstabel[[#This Row],[År]]&gt;Input_Tidshorisont,BlankTegn,
IF(Tidstabel[[#This Row],[År]]=0,-SK_Enhedspris,0)),BlankTegn)</f>
        <v>0</v>
      </c>
      <c r="CC14" s="245" t="str">
        <f>IFERROR(IF(Tidstabel[[#This Row],[År]]&gt;Input_Tidshorisont,BlankTegn,
IF(Tidstabel[[#This Row],[År]]=0,SK_Enhedspris/SK_Levetid,CC13*((1+Tidstabel[[#This Row],[Kalkulationsrente]])^-1)*((1+PrisudviklingGenerelt)^1))),BlankTegn)</f>
        <v>.</v>
      </c>
      <c r="CD14" s="178" t="str">
        <f ca="1">IFERROR(IF(Tidstabel[[#This Row],[År]]&gt;Input_Tidshorisont,BlankTegn,
IF(SK_Vedligehold_i=1,IF(Tidstabel[[#This Row],[SK_Uds?]]=0,1,0),IF(MAX(CD13:OFFSET(CE13,2-SK_Vedligehold_i,0),Tidstabel[[#This Row],[SK_Uds?]])=0,1,0))),BlankTegn)</f>
        <v>.</v>
      </c>
      <c r="CE14" s="178" t="str">
        <f>IFERROR(IF(Tidstabel[[#This Row],[År]]&gt;Input_Tidshorisont,BlankTegn,
IF(Tidstabel[[#This Row],[År]]=0,1,IF(MOD(Tidstabel[[#This Row],[År]],SK_Levetid)=0,1,IF(Tidstabel[[#This Row],[År]]=Input_Tidshorisont,0,0)))),BlankTegn)</f>
        <v>.</v>
      </c>
      <c r="CF14" s="245" t="str">
        <f ca="1">IFERROR(IF(Tidstabel[[#This Row],[År]]&gt;Input_Tidshorisont,BlankTegn,
SK_Vedligehold_p*-SK_Enhedspris*Tidstabel[[#This Row],[SK_Ved?]]*((1+Tidstabel[[#This Row],[Kalkulationsrente]])^-Tidstabel[[#This Row],[År]])*((1+PrisudviklingGenerelt)^Tidstabel[[#This Row],[År]])),BlankTegn)</f>
        <v>.</v>
      </c>
      <c r="CG14" s="245" t="str">
        <f>IFERROR(IF(Tidstabel[[#This Row],[År]]&gt;Input_Tidshorisont,BlankTegn,
IF(Tidstabel[[#This Row],[År]]=0,SK_Enhedspris,SUM(CG13:CH13)*((1+Tidstabel[[#This Row],[Kalkulationsrente]])^-1)*((1+PrisudviklingGenerelt)^1)-Tidstabel[[#This Row],[SK_Afskrivning]])),BlankTegn)</f>
        <v>.</v>
      </c>
      <c r="CH14" s="245" t="str">
        <f>IFERROR(IF(Tidstabel[[#This Row],[År]]&gt;Input_Tidshorisont,BlankTegn,
IF(Tidstabel[[#This Row],[År]]=0,0,Tidstabel[[#This Row],[SK_Uds?]]*SK_Enhedspris*((1+Tidstabel[[#This Row],[Kalkulationsrente]])^-Tidstabel[[#This Row],[År]])*((1+PrisudviklingGenerelt)^Tidstabel[[#This Row],[År]]))),BlankTegn)</f>
        <v>.</v>
      </c>
      <c r="CI14" s="262" t="str">
        <f>IFERROR(IF(Tidstabel[[#This Row],[År]]&gt;Input_Tidshorisont,BlankTegn,
IF(Tidstabel[[#This Row],[År]]=0,0,Tidstabel[[#This Row],[SK_Uds?]]*-SK_Enhedspris*SK_Genoprettelse*((1+Tidstabel[[#This Row],[Kalkulationsrente]])^-Tidstabel[[#This Row],[År]])*((1+PrisudviklingGenerelt)^Tidstabel[[#This Row],[År]]))),BlankTegn)</f>
        <v>.</v>
      </c>
      <c r="CJ14" s="19"/>
    </row>
    <row r="15" spans="1:88">
      <c r="A15" s="250">
        <v>8</v>
      </c>
      <c r="B15" s="250">
        <f>Input_Etableringsår+Tidstabel[[#This Row],[År]]</f>
        <v>2032</v>
      </c>
      <c r="C15" s="274" cm="1">
        <f t="array" ref="C15">_xlfn.IFS(Tidstabel[[#This Row],[År]]&gt;KR_Trin3_Tærskel,KR_Trin3_Rente,Tidstabel[[#This Row],[År]]&gt;KR_Trin2_Tærskel,KR_Trin2_Rente,Tidstabel[[#This Row],[År]]&gt;KR_Trin1_Tærskel,KR_Trin1_Rente,Tidstabel[[#This Row],[År]]&gt;KR_Trin0_Tærskel,KR_Trin0_Rente)</f>
        <v>3.5000000000000003E-2</v>
      </c>
      <c r="D15" s="142" t="str" cm="1">
        <f t="array" ref="D15">IFERROR(
INDEX(Range_Materiale_ÅrligeEmissioner,MATCH(1,(Materialedata[Komponent]=FB_Titel)*(Materialedata[Materiale]=FB_Materiale),0),MATCH(Tidstabel[[#This Row],[År]],Range_Materiale_År,0)),BlankTegn)</f>
        <v>.</v>
      </c>
      <c r="E15" s="142" t="str" cm="1">
        <f t="array" ref="E15">IFERROR(
INDEX(Range_Materiale_ÅrligeEmissioner,MATCH(1,(Materialedata[Komponent]=SK_Titel)*(Materialedata[Materiale]=SK_Materiale),0),MATCH(Tidstabel[[#This Row],[År]],Range_Materiale_År,0)),BlankTegn)</f>
        <v>.</v>
      </c>
      <c r="F15" s="142" t="str" cm="1">
        <f t="array" ref="F15">IFERROR(
INDEX(Range_Materiale_ÅrligeEmissioner,MATCH(1,(Materialedata[Komponent]=EI_Titel)*(Materialedata[Materiale]=EI_Materiale),0),MATCH(Tidstabel[[#This Row],[År]],Range_Materiale_År,0)),BlankTegn)</f>
        <v>.</v>
      </c>
      <c r="G15" s="142" t="str" cm="1">
        <f t="array" ref="G15">IFERROR(
INDEX(Range_Materiale_ÅrligeEmissioner,MATCH(1,(Materialedata[Komponent]=AP_Titel)*(Materialedata[Materiale]=AP_Materiale),0),MATCH(Tidstabel[[#This Row],[År]],Range_Materiale_År,0)),BlankTegn)</f>
        <v>.</v>
      </c>
      <c r="H15" s="142" t="str" cm="1">
        <f t="array" ref="H15">IFERROR(
INDEX(Range_Materiale_ÅrligeEmissioner,MATCH(1,(Materialedata[Komponent]=VS_Titel)*(Materialedata[Materiale]=VS_Materiale),0),MATCH(Tidstabel[[#This Row],[År]],Range_Materiale_År,0)),BlankTegn)</f>
        <v>.</v>
      </c>
      <c r="I15" s="142" t="str">
        <f>IFERROR(
IF(SUM(Tidstabel[[#This Row],[Facadebeklædning]:[Vindspærre]])=0,BlankTegn,
SUM(Tidstabel[[#This Row],[Facadebeklædning]:[Vindspærre]])),BlankTegn)</f>
        <v>.</v>
      </c>
      <c r="J15" s="139">
        <f>IF(Tidstabel[[#This Row],[År]]&gt;Input_Tidshorisont,BlankTegn,
A5_ElVarmeBrændstofByggeplads)</f>
        <v>0.25</v>
      </c>
      <c r="K15" s="142" t="str">
        <f>IFERROR(IF(Tidstabel[[#This Row],[År]]&gt;Input_Tidshorisont,BlankTegn,
-1*INDEX(Range_Energi_ÅrligBesparelse,MATCH(Input_EksisterendeFacade,Energiberegning[Ydervæg],0),MATCH(Tidstabel[[#This Row],[Årstal]],Range_Energi_Årstal,0))),BlankTegn)</f>
        <v>.</v>
      </c>
      <c r="L15" s="142">
        <f>IF(Tidstabel[[#This Row],[År]]&gt;Input_Tidshorisont,BlankTegn,
(Tidstabel[[#This Row],[År]]+1)*(SUM(Vedligeholdelsesmaterialer[Facadefarve],Vedligeholdelsesmaterialer[Grunder og mellemmaling])/12+SUM(Vedligeholdelsesmaterialer[Puds])/30))</f>
        <v>2.9236885724999997</v>
      </c>
      <c r="M15" s="142" t="str">
        <f>IFERROR(IF(Tidstabel[[#This Row],[År]]&gt;Input_Tidshorisont,BlankTegn,
Tidstabel[[#This Row],[Materialer_Total]]+Tidstabel[[#This Row],[Byggeprocess]]),BlankTegn)</f>
        <v>.</v>
      </c>
      <c r="N15" s="142" t="str">
        <f>IFERROR(IF(Tidstabel[[#This Row],[År]]&gt;Input_Tidshorisont,BlankTegn,
Tidstabel[[#This Row],[Energibesparelse]]+Tidstabel[[#This Row],[Emission_Brutto]]),BlankTegn)</f>
        <v>.</v>
      </c>
      <c r="O15" s="142" t="str">
        <f>IFERROR(IF(Tidstabel[[#This Row],[År]]&gt;Input_Tidshorisont,BlankTegn,
Tidstabel[[#This Row],[Emission_Netto]]-Tidstabel[[#This Row],[Vedligehold_EksisterendeFacade]]),BlankTegn)</f>
        <v>.</v>
      </c>
      <c r="P15" s="271" t="str">
        <f>IFERROR(IF(Tidstabel[[#This Row],[År]]&gt;Input_Tidshorisont,BlankTegn,
IF(AND(Tidstabel[[#This Row],[Emission_Netto]]-Tidstabel[[#This Row],[Vedligehold_EksisterendeFacade]]&gt;0,N16-L16&lt;0),-1,IF(AND(Tidstabel[[#This Row],[Emission_Netto]]-Tidstabel[[#This Row],[Vedligehold_EksisterendeFacade]]&lt;0,N16-L16&gt;0),1,0))),BlankTegn)</f>
        <v>.</v>
      </c>
      <c r="Q15" s="174" t="str">
        <f>IF(Tidstabel[[#This Row],[År]]&gt;Input_Tidshorisont,BlankTegn,
IF(Tidstabel[[#This Row],[LCA-Skæring]]=-1,SUM(Tidstabel[[#This Row],[År]]*(1-ABS(Tidstabel[[#This Row],[LCA-Difference]])/(ABS(Tidstabel[[#This Row],[LCA-Difference]])+ABS(O16))),A16*(1-ABS(O16)/(ABS(Tidstabel[[#This Row],[LCA-Difference]])+ABS(O16)))),"-"))</f>
        <v>-</v>
      </c>
      <c r="R15" s="174" t="str">
        <f>IF(Tidstabel[[#This Row],[År]]&gt;Input_Tidshorisont,BlankTegn,
IF(Tidstabel[[#This Row],[LCA-Skæring]]=-1,SUM(Tidstabel[[#This Row],[Emission_Netto]]*(1-ABS(Tidstabel[[#This Row],[LCA-Difference]])/(ABS(Tidstabel[[#This Row],[LCA-Difference]])+ABS(O16))),N16*(1-ABS(O16)/(ABS(Tidstabel[[#This Row],[LCA-Difference]])+ABS(O16)))),"-"))</f>
        <v>-</v>
      </c>
      <c r="S15" s="174" t="str">
        <f>IF(Tidstabel[[#This Row],[År]]&gt;Input_Tidshorisont,BlankTegn,
IF(Tidstabel[[#This Row],[LCA-Skæring]]=1,SUM(Tidstabel[[#This Row],[År]]*(1-ABS(Tidstabel[[#This Row],[LCA-Difference]])/(ABS(Tidstabel[[#This Row],[LCA-Difference]])+ABS(O16))),A16*(1-ABS(O16)/(ABS(Tidstabel[[#This Row],[LCA-Difference]])+ABS(O16)))),"-"))</f>
        <v>-</v>
      </c>
      <c r="T15" s="264" t="str">
        <f>IF(Tidstabel[[#This Row],[År]]&gt;Input_Tidshorisont,BlankTegn,
IF(Tidstabel[[#This Row],[LCA-Skæring]]=1,SUM(Tidstabel[[#This Row],[Emission_Netto]]*(1-ABS(Tidstabel[[#This Row],[LCA-Difference]])/(ABS(Tidstabel[[#This Row],[LCA-Difference]])+ABS(O16))),N16*(1-ABS(O16)/(ABS(Tidstabel[[#This Row],[LCA-Difference]])+ABS(O16)))),"-"))</f>
        <v>-</v>
      </c>
      <c r="U15" s="142" t="str">
        <f ca="1">IFERROR(IF(Tidstabel[[#This Row],[År]]&gt;Input_Tidshorisont,BlankTegn,
Tidstabel[[#This Row],[NPV_Klimafacade]]-Tidstabel[[#This Row],[NPV_Eksisterende]]),BlankTegn)</f>
        <v>.</v>
      </c>
      <c r="V15" s="271" t="str">
        <f ca="1">IFERROR(IF(Tidstabel[[#This Row],[År]]&gt;Input_Tidshorisont,BlankTegn,
IF(AND(Tidstabel[[#This Row],[NPV_Klimafacade]]-Tidstabel[[#This Row],[NPV_Eksisterende]]&gt;0,AB16-AA16&lt;0),1,IF(AND(Tidstabel[[#This Row],[NPV_Klimafacade]]-Tidstabel[[#This Row],[NPV_Eksisterende]]&lt;0,AB16-AA16&gt;0),-1,0))),BlankTegn)</f>
        <v>.</v>
      </c>
      <c r="W15" s="174" t="str">
        <f ca="1">IF(Tidstabel[[#This Row],[År]]&gt;Input_Tidshorisont,BlankTegn,
IF(Tidstabel[[#This Row],[LCC-Skæring]]=-1,SUM(Tidstabel[[#This Row],[År]]*(1-ABS(Tidstabel[[#This Row],[LCC-Difference]])/(ABS(Tidstabel[[#This Row],[LCC-Difference]])+ABS(U16))),A16*(1-ABS(U16)/(ABS(Tidstabel[[#This Row],[LCC-Difference]])+ABS(U16)))),"-"))</f>
        <v>-</v>
      </c>
      <c r="X15" s="174" t="str">
        <f ca="1">IF(Tidstabel[[#This Row],[År]]&gt;Input_Tidshorisont,BlankTegn,
IF(Tidstabel[[#This Row],[LCC-Skæring]]=-1,SUM(Tidstabel[[#This Row],[NPV_Klimafacade]]*(1-ABS(Tidstabel[[#This Row],[LCC-Difference]])/(ABS(Tidstabel[[#This Row],[LCC-Difference]])+ABS(U16))),AB16*(1-ABS(U16)/(ABS(Tidstabel[[#This Row],[LCC-Difference]])+ABS(U16)))),"-"))</f>
        <v>-</v>
      </c>
      <c r="Y15" s="174" t="str">
        <f ca="1">IF(Tidstabel[[#This Row],[År]]&gt;Input_Tidshorisont,BlankTegn,
IF(Tidstabel[[#This Row],[LCC-Skæring]]=1,SUM(Tidstabel[[#This Row],[År]]*(1-ABS(Tidstabel[[#This Row],[LCC-Difference]])/(ABS(Tidstabel[[#This Row],[LCC-Difference]])+ABS(U16))),A16*(1-ABS(U16)/(ABS(Tidstabel[[#This Row],[LCC-Difference]])+ABS(U16)))),"-"))</f>
        <v>-</v>
      </c>
      <c r="Z15" s="264" t="str">
        <f ca="1">IF(Tidstabel[[#This Row],[År]]&gt;Input_Tidshorisont,BlankTegn,
IF(Tidstabel[[#This Row],[LCC-Skæring]]=1,SUM(Tidstabel[[#This Row],[NPV_Klimafacade]]*(1-ABS(Tidstabel[[#This Row],[LCC-Difference]])/(ABS(Tidstabel[[#This Row],[LCC-Difference]])+ABS(U16))),AB16*(1-ABS(U16)/(ABS(Tidstabel[[#This Row],[LCC-Difference]])+ABS(U16)))),"-"))</f>
        <v>-</v>
      </c>
      <c r="AA15" s="142">
        <f ca="1">IF(Tidstabel[[#This Row],[År]]&gt;Input_Tidshorisont,BlankTegn,
Tidstabel[[#This Row],[EF_Vedligehold_Aggregeret]])</f>
        <v>-83.84411071622813</v>
      </c>
      <c r="AB15"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15" s="142" t="str">
        <f>IFERROR(IF(Tidstabel[[#This Row],[År]]&gt;Input_Tidshorisont,BlankTegn,
Tidstabel[[#This Row],[KF_Anskaffelse_Aggregeret]]+Tidstabel[[#This Row],[KF_Engangsudgifter_Aggregeret]]),BlankTegn)</f>
        <v>.</v>
      </c>
      <c r="AD15" s="174">
        <f ca="1">IFERROR(IF(Tidstabel[[#This Row],[År]]&gt;Input_Tidshorisont,BlankTegn,
IF(Tidstabel[[#This Row],[År]]=0,0,Tidstabel[[#This Row],[NPV_Eksisterende]]*(Tidstabel[[#This Row],[Kalkulationsrente]]/(1-(1+Tidstabel[[#This Row],[Kalkulationsrente]])^-Tidstabel[[#This Row],[År]])))),BlankTegn)</f>
        <v>-12.197360059844232</v>
      </c>
      <c r="AE15" s="264" t="str">
        <f ca="1">IFERROR(IF(Tidstabel[[#This Row],[År]]&gt;Input_Tidshorisont,BlankTegn,
IF(Tidstabel[[#This Row],[År]]=0,0,Tidstabel[[#This Row],[NPV_Klimafacade]]*(Tidstabel[[#This Row],[Kalkulationsrente]]/(1-(1+Tidstabel[[#This Row],[Kalkulationsrente]])^-Tidstabel[[#This Row],[År]])))),BlankTegn)</f>
        <v>.</v>
      </c>
      <c r="AF15" s="270">
        <f ca="1">IF(Tidstabel[[#This Row],[År]]&gt;Input_Tidshorisont,BlankTegn,
IF(EF_Vedligehold_i=1,IF(Tidstabel[[#This Row],[EF_Uds?]]=0,1,0),IF(MAX(AF14:OFFSET(AG14,2-EF_Vedligehold_i,0),Tidstabel[[#This Row],[EF_Uds?]])=0,1,0)))</f>
        <v>1</v>
      </c>
      <c r="AG15" s="181">
        <f>IF(Tidstabel[[#This Row],[År]]&gt;Input_Tidshorisont,BlankTegn,0)</f>
        <v>0</v>
      </c>
      <c r="AH15" s="263">
        <f ca="1">IF(Tidstabel[[#This Row],[År]]&gt;Input_Tidshorisont,BlankTegn,
Tidstabel[[#This Row],[EF_Ved?]]*EF_Vedligehold_p*-EF_Enhedspris*((1+Tidstabel[[#This Row],[Kalkulationsrente]])^-Tidstabel[[#This Row],[År]])*((1+PrisudviklingGenerelt)^Tidstabel[[#This Row],[År]]))</f>
        <v>-8.0864295336670029</v>
      </c>
      <c r="AI15" s="262">
        <f ca="1">IF(Tidstabel[[#This Row],[År]]&gt;Input_Tidshorisont,BlankTegn,
IF(Tidstabel[[#This Row],[År]]=0,Tidstabel[[#This Row],[EF_Vedligehold]],AI14+Tidstabel[[#This Row],[EF_Vedligehold]]))</f>
        <v>-83.84411071622813</v>
      </c>
      <c r="AJ15" s="245">
        <f>IFERROR(IF(Tidstabel[[#This Row],[År]]&gt;Input_Tidshorisont,BlankTegn,
Tidstabel[[#This Row],[FB_Anskaffelse]]+Tidstabel[[#This Row],[VS_Anskaffelse]]+Tidstabel[[#This Row],[EI_Anskaffelse]]+Tidstabel[[#This Row],[AP_Anskaffelse]]+Tidstabel[[#This Row],[SK_Anskaffelse]]),BlankTegn)</f>
        <v>0</v>
      </c>
      <c r="AK15" s="245" t="str">
        <f>IFERROR(IF(Tidstabel[[#This Row],[År]]&gt;Input_Tidshorisont,BlankTegn,
IF(Tidstabel[[#This Row],[År]]=0,Tidstabel[[#This Row],[KF_Anskaffelse]],AK14+Tidstabel[[#This Row],[KF_Anskaffelse]])),BlankTegn)</f>
        <v>.</v>
      </c>
      <c r="AL15" s="246" t="str">
        <f ca="1">IFERROR(IF(Tidstabel[[#This Row],[År]]&gt;Input_Tidshorisont,BlankTegn,
Tidstabel[[#This Row],[FB_Vedligehold]]+Tidstabel[[#This Row],[VS_Vedligehold]]+Tidstabel[[#This Row],[EI_Vedligehold]]+Tidstabel[[#This Row],[AP_Vedligehold]]+Tidstabel[[#This Row],[SK_Vedligehold]]),BlankTegn)</f>
        <v>.</v>
      </c>
      <c r="AM15" s="245" t="str">
        <f ca="1">IFERROR(IF(Tidstabel[[#This Row],[År]]&gt;Input_Tidshorisont,BlankTegn,
IF(Tidstabel[[#This Row],[År]]=0,Tidstabel[[#This Row],[KF_Vedligehold]],AM14+Tidstabel[[#This Row],[KF_Vedligehold]])),BlankTegn)</f>
        <v>.</v>
      </c>
      <c r="AN15"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15"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15" s="245" t="str">
        <f>IFERROR(IF(Tidstabel[[#This Row],[År]]&gt;Input_Tidshorisont,BlankTegn,
IF(Tidstabel[[#This Row],[År]]=0,Tidstabel[[#This Row],[KF_Udskiftning_Komponent]],AP14+Tidstabel[[#This Row],[KF_Udskiftning_Komponent]])),BlankTegn)</f>
        <v>.</v>
      </c>
      <c r="AQ15" s="245">
        <f>IF(Tidstabel[[#This Row],[År]]&gt;Input_Tidshorisont,BlankTegn,
IF(Tidstabel[[#This Row],[År]]=0,-SUM(Engangsudgifter[Udgift]),0))</f>
        <v>0</v>
      </c>
      <c r="AR15" s="245">
        <f>IFERROR(IF(Tidstabel[[#This Row],[År]]&gt;Input_Tidshorisont,BlankTegn,
IF(Tidstabel[[#This Row],[År]]=0,Tidstabel[[#This Row],[KF_Engangsudgifter]],AR14+Tidstabel[[#This Row],[KF_Engangsudgifter]])),BlankTegn)</f>
        <v>0</v>
      </c>
      <c r="AS15" s="315" t="str">
        <f>IFERROR(IF(Tidstabel[[#This Row],[År]]&gt;Input_Tidshorisont,BlankTegn,
-Energibesparelse_Årlig),BlankTegn)</f>
        <v>.</v>
      </c>
      <c r="AT15" s="245" t="str">
        <f>IFERROR(IF(Tidstabel[[#This Row],[År]]&gt;Input_Tidshorisont,BlankTegn,
IF(Tidstabel[[#This Row],[År]]=0,0,-Tidstabel[[#This Row],[KF_Energiforbrug]]*Input_Fjernvarmepris*((1+Tidstabel[[#This Row],[Kalkulationsrente]])^-Tidstabel[[#This Row],[År]])*((1+PrisudviklingFjernvarme)^Tidstabel[[#This Row],[År]]))),BlankTegn)</f>
        <v>.</v>
      </c>
      <c r="AU15" s="262" t="str">
        <f>IFERROR(IF(Tidstabel[[#This Row],[År]]&gt;Input_Tidshorisont,BlankTegn,
IF(Tidstabel[[#This Row],[År]]=0,Tidstabel[[#This Row],[KF_Forsyning]],AU14+Tidstabel[[#This Row],[KF_Forsyning]])),BlankTegn)</f>
        <v>.</v>
      </c>
      <c r="AV15" s="245">
        <f>IFERROR(IF(Tidstabel[[#This Row],[År]]&gt;Input_Tidshorisont,BlankTegn,
IF(Tidstabel[[#This Row],[År]]=0,-FB_Enhedspris,0)),BlankTegn)</f>
        <v>0</v>
      </c>
      <c r="AW15" s="245" t="str">
        <f>IFERROR(IF(Tidstabel[[#This Row],[År]]&gt;Input_Tidshorisont,BlankTegn,
IF(Tidstabel[[#This Row],[År]]=0,FB_Enhedspris/FB_Levetid,AW14*((1+Tidstabel[[#This Row],[Kalkulationsrente]])^-1)*((1+PrisudviklingGenerelt)^1))),BlankTegn)</f>
        <v>.</v>
      </c>
      <c r="AX15" s="178" t="str">
        <f ca="1">IFERROR(IF(Tidstabel[[#This Row],[År]]&gt;Input_Tidshorisont,BlankTegn,
IF(FB_Vedligehold_i=1,IF(Tidstabel[[#This Row],[FB_Uds?]]=0,1,0),IF(MAX(AX14:OFFSET(AY14,2-FB_Vedligehold_i,0),Tidstabel[[#This Row],[FB_Uds?]])=0,1,0))),BlankTegn)</f>
        <v>.</v>
      </c>
      <c r="AY15" s="178" t="str">
        <f>IFERROR(IF(Tidstabel[[#This Row],[År]]&gt;Input_Tidshorisont,BlankTegn,
IF(Tidstabel[[#This Row],[År]]=0,1,IF(MOD(Tidstabel[[#This Row],[År]],FB_Levetid)=0,1,IF(Tidstabel[[#This Row],[År]]=Input_Tidshorisont,0,0)))),BlankTegn)</f>
        <v>.</v>
      </c>
      <c r="AZ15" s="245" t="str">
        <f ca="1">IFERROR(IF(Tidstabel[[#This Row],[År]]&gt;Input_Tidshorisont,BlankTegn,
FB_Vedligehold_p*-FB_Enhedspris*Tidstabel[[#This Row],[FB_Ved?]]*((1+Tidstabel[[#This Row],[Kalkulationsrente]])^-Tidstabel[[#This Row],[År]])*((1+PrisudviklingGenerelt)^Tidstabel[[#This Row],[År]])),BlankTegn)</f>
        <v>.</v>
      </c>
      <c r="BA15" s="245" t="str">
        <f>IFERROR(IF(Tidstabel[[#This Row],[År]]&gt;Input_Tidshorisont,BlankTegn,
IF(Tidstabel[[#This Row],[År]]=0,FB_Enhedspris,SUM(BA14:BB14)*((1+Tidstabel[[#This Row],[Kalkulationsrente]])^-1)*((1+PrisudviklingGenerelt)^1)-Tidstabel[[#This Row],[FB_Afskrivning]])),BlankTegn)</f>
        <v>.</v>
      </c>
      <c r="BB15" s="245" t="str">
        <f>IFERROR(IF(Tidstabel[[#This Row],[År]]&gt;Input_Tidshorisont,BlankTegn,
IF(Tidstabel[[#This Row],[År]]=0,0,Tidstabel[[#This Row],[FB_Uds?]]*FB_Enhedspris*((1+Tidstabel[[#This Row],[Kalkulationsrente]])^-Tidstabel[[#This Row],[År]])*((1+PrisudviklingGenerelt)^Tidstabel[[#This Row],[År]]))),BlankTegn)</f>
        <v>.</v>
      </c>
      <c r="BC15" s="262" t="str">
        <f>IFERROR(IF(Tidstabel[[#This Row],[År]]&gt;Input_Tidshorisont,BlankTegn,
IF(Tidstabel[[#This Row],[År]]=0,0,Tidstabel[[#This Row],[FB_Uds?]]*-FB_Enhedspris*FB_Genoprettelse*((1+Tidstabel[[#This Row],[Kalkulationsrente]])^-Tidstabel[[#This Row],[År]])*((1+PrisudviklingGenerelt)^Tidstabel[[#This Row],[År]]))),BlankTegn)</f>
        <v>.</v>
      </c>
      <c r="BD15" s="245">
        <f>IFERROR(IF(Tidstabel[[#This Row],[År]]&gt;Input_Tidshorisont,BlankTegn,
IF(Tidstabel[[#This Row],[År]]=0,-VS_Enhedspris,0)),BlankTegn)</f>
        <v>0</v>
      </c>
      <c r="BE15" s="245" t="str">
        <f>IFERROR(IF(Tidstabel[[#This Row],[År]]&gt;Input_Tidshorisont,BlankTegn,
IF(Tidstabel[[#This Row],[År]]=0,VS_Enhedspris/VS_Levetid,BE14*((1+Tidstabel[[#This Row],[Kalkulationsrente]])^-1)*((1+PrisudviklingGenerelt)^1))),BlankTegn)</f>
        <v>.</v>
      </c>
      <c r="BF15" s="178" t="str">
        <f ca="1">IFERROR(IF(Tidstabel[[#This Row],[År]]&gt;Input_Tidshorisont,BlankTegn,
IF(VS_Vedligehold_i=1,IF(Tidstabel[[#This Row],[VS_Uds?]]=0,1,0),IF(MAX(BF14:OFFSET(BG14,2-VS_Vedligehold_i,0),Tidstabel[[#This Row],[VS_Uds?]])=0,1,0))),BlankTegn)</f>
        <v>.</v>
      </c>
      <c r="BG15" s="178" t="str">
        <f>IFERROR(IF(Tidstabel[[#This Row],[År]]&gt;Input_Tidshorisont,BlankTegn,
IF(Tidstabel[[#This Row],[År]]=0,1,IF(MOD(Tidstabel[[#This Row],[År]],VS_Levetid)=0,1,IF(Tidstabel[[#This Row],[År]]=Input_Tidshorisont,0,0)))),BlankTegn)</f>
        <v>.</v>
      </c>
      <c r="BH15" s="245" t="str">
        <f ca="1">IFERROR(IF(Tidstabel[[#This Row],[År]]&gt;Input_Tidshorisont,BlankTegn,
VS_Vedligehold_p*-VS_Enhedspris*Tidstabel[[#This Row],[VS_Ved?]]*((1+Tidstabel[[#This Row],[Kalkulationsrente]])^-Tidstabel[[#This Row],[År]])*((1+PrisudviklingGenerelt)^Tidstabel[[#This Row],[År]])),BlankTegn)</f>
        <v>.</v>
      </c>
      <c r="BI15" s="245" t="str">
        <f>IFERROR(IF(Tidstabel[[#This Row],[År]]&gt;Input_Tidshorisont,BlankTegn,
IF(Tidstabel[[#This Row],[År]]=0,VS_Enhedspris,SUM(BI14:BJ14)*((1+Tidstabel[[#This Row],[Kalkulationsrente]])^-1)*((1+PrisudviklingGenerelt)^1)-Tidstabel[[#This Row],[VS_Afskrivning]])),BlankTegn)</f>
        <v>.</v>
      </c>
      <c r="BJ15" s="245" t="str">
        <f>IFERROR(IF(Tidstabel[[#This Row],[År]]&gt;Input_Tidshorisont,BlankTegn,
IF(Tidstabel[[#This Row],[År]]=0,0,Tidstabel[[#This Row],[VS_Uds?]]*VS_Enhedspris*((1+Tidstabel[[#This Row],[Kalkulationsrente]])^-Tidstabel[[#This Row],[År]])*((1+PrisudviklingGenerelt)^Tidstabel[[#This Row],[År]]))),BlankTegn)</f>
        <v>.</v>
      </c>
      <c r="BK15" s="262" t="str">
        <f>IFERROR(IF(Tidstabel[[#This Row],[År]]&gt;Input_Tidshorisont,BlankTegn,
IF(Tidstabel[[#This Row],[År]]=0,0,Tidstabel[[#This Row],[VS_Uds?]]*-VS_Enhedspris*VS_Genoprettelse*((1+Tidstabel[[#This Row],[Kalkulationsrente]])^-Tidstabel[[#This Row],[År]])*((1+PrisudviklingGenerelt)^Tidstabel[[#This Row],[År]]))),BlankTegn)</f>
        <v>.</v>
      </c>
      <c r="BL15" s="245">
        <f>IFERROR(IF(Tidstabel[[#This Row],[År]]&gt;Input_Tidshorisont,BlankTegn,
IF(Tidstabel[[#This Row],[År]]=0,-EI_Enhedspris,0)),BlankTegn)</f>
        <v>0</v>
      </c>
      <c r="BM15" s="245" t="str">
        <f>IFERROR(IF(Tidstabel[[#This Row],[År]]&gt;Input_Tidshorisont,BlankTegn,
IF(Tidstabel[[#This Row],[År]]=0,EI_Enhedspris/EI_Levetid,BM14*((1+Tidstabel[[#This Row],[Kalkulationsrente]])^-1)*((1+PrisudviklingGenerelt)^1))),BlankTegn)</f>
        <v>.</v>
      </c>
      <c r="BN15" s="178" t="str">
        <f ca="1">IFERROR(IF(Tidstabel[[#This Row],[År]]&gt;Input_Tidshorisont,BlankTegn,
IF(EI_Vedligehold_i=1,IF(Tidstabel[[#This Row],[EI_Uds?]]=0,1,0),IF(MAX(BN14:OFFSET(BO14,2-EI_Vedligehold_i,0),Tidstabel[[#This Row],[EI_Uds?]])=0,1,0))),BlankTegn)</f>
        <v>.</v>
      </c>
      <c r="BO15" s="178" t="str">
        <f>IFERROR(IF(Tidstabel[[#This Row],[År]]&gt;Input_Tidshorisont,BlankTegn,
IF(Tidstabel[[#This Row],[År]]=0,1,IF(MOD(Tidstabel[[#This Row],[År]],EI_Levetid)=0,1,IF(Tidstabel[[#This Row],[År]]=Input_Tidshorisont,0,0)))),BlankTegn)</f>
        <v>.</v>
      </c>
      <c r="BP15" s="245" t="str">
        <f ca="1">IFERROR(IF(Tidstabel[[#This Row],[År]]&gt;Input_Tidshorisont,BlankTegn,
EI_Vedligehold_p*-EI_Enhedspris*Tidstabel[[#This Row],[EI_Ved?]]*((1+Tidstabel[[#This Row],[Kalkulationsrente]])^-Tidstabel[[#This Row],[År]])*((1+PrisudviklingGenerelt)^Tidstabel[[#This Row],[År]])),BlankTegn)</f>
        <v>.</v>
      </c>
      <c r="BQ15" s="245" t="str">
        <f>IFERROR(IF(Tidstabel[[#This Row],[År]]&gt;Input_Tidshorisont,BlankTegn,
IF(Tidstabel[[#This Row],[År]]=0,EI_Enhedspris,SUM(BQ14:BR14)*((1+Tidstabel[[#This Row],[Kalkulationsrente]])^-1)*((1+PrisudviklingGenerelt)^1)-Tidstabel[[#This Row],[EI_Afskrivning]])),BlankTegn)</f>
        <v>.</v>
      </c>
      <c r="BR15" s="245" t="str">
        <f>IFERROR(IF(Tidstabel[[#This Row],[År]]&gt;Input_Tidshorisont,BlankTegn,
IF(Tidstabel[[#This Row],[År]]=0,0,Tidstabel[[#This Row],[EI_Uds?]]*EI_Enhedspris*((1+Tidstabel[[#This Row],[Kalkulationsrente]])^-Tidstabel[[#This Row],[År]])*((1+PrisudviklingGenerelt)^Tidstabel[[#This Row],[År]]))),BlankTegn)</f>
        <v>.</v>
      </c>
      <c r="BS15" s="262" t="str">
        <f>IFERROR(IF(Tidstabel[[#This Row],[År]]&gt;Input_Tidshorisont,BlankTegn,
IF(Tidstabel[[#This Row],[År]]=0,0,Tidstabel[[#This Row],[EI_Uds?]]*-EI_Enhedspris*EI_Genoprettelse*((1+Tidstabel[[#This Row],[Kalkulationsrente]])^-Tidstabel[[#This Row],[År]])*((1+PrisudviklingGenerelt)^Tidstabel[[#This Row],[År]]))),BlankTegn)</f>
        <v>.</v>
      </c>
      <c r="BT15" s="245">
        <f>IFERROR(IF(Tidstabel[[#This Row],[År]]&gt;Input_Tidshorisont,BlankTegn,
IF(Tidstabel[[#This Row],[År]]=0,-AP_Enhedspris,0)),BlankTegn)</f>
        <v>0</v>
      </c>
      <c r="BU15" s="245" t="str">
        <f>IFERROR(IF(Tidstabel[[#This Row],[År]]&gt;Input_Tidshorisont,BlankTegn,
IF(Tidstabel[[#This Row],[År]]=0,AP_Enhedspris/AP_Levetid,BU14*((1+Tidstabel[[#This Row],[Kalkulationsrente]])^-1)*((1+PrisudviklingGenerelt)^1))),BlankTegn)</f>
        <v>.</v>
      </c>
      <c r="BV15" s="178" t="str">
        <f ca="1">IFERROR(IF(Tidstabel[[#This Row],[År]]&gt;Input_Tidshorisont,BlankTegn,
IF(AP_Vedligehold_i=1,IF(Tidstabel[[#This Row],[AP_Uds?]]=0,1,0),IF(MAX(BV14:OFFSET(BW14,2-AP_Vedligehold_i,0),Tidstabel[[#This Row],[AP_Uds?]])=0,1,0))),BlankTegn)</f>
        <v>.</v>
      </c>
      <c r="BW15" s="178" t="str">
        <f>IFERROR(IF(Tidstabel[[#This Row],[År]]&gt;Input_Tidshorisont,BlankTegn,
IF(Tidstabel[[#This Row],[År]]=0,1,IF(MOD(Tidstabel[[#This Row],[År]],AP_Levetid)=0,1,IF(Tidstabel[[#This Row],[År]]=Input_Tidshorisont,0,0)))),BlankTegn)</f>
        <v>.</v>
      </c>
      <c r="BX15" s="245" t="str">
        <f ca="1">IFERROR(IF(Tidstabel[[#This Row],[År]]&gt;Input_Tidshorisont,BlankTegn,
AP_Vedligehold_p*-AP_Enhedspris*Tidstabel[[#This Row],[AP_Ved?]]*((1+Tidstabel[[#This Row],[Kalkulationsrente]])^-Tidstabel[[#This Row],[År]])*((1+PrisudviklingGenerelt)^Tidstabel[[#This Row],[År]])),BlankTegn)</f>
        <v>.</v>
      </c>
      <c r="BY15" s="245" t="str">
        <f>IFERROR(IF(Tidstabel[[#This Row],[År]]&gt;Input_Tidshorisont,BlankTegn,
IF(Tidstabel[[#This Row],[År]]=0,AP_Enhedspris,SUM(BY14:BZ14)*((1+Tidstabel[[#This Row],[Kalkulationsrente]])^-1)*((1+PrisudviklingGenerelt)^1)-Tidstabel[[#This Row],[AP_Afskrivning]])),BlankTegn)</f>
        <v>.</v>
      </c>
      <c r="BZ15" s="245" t="str">
        <f>IFERROR(IF(Tidstabel[[#This Row],[År]]&gt;Input_Tidshorisont,BlankTegn,
IF(Tidstabel[[#This Row],[År]]=0,0,Tidstabel[[#This Row],[AP_Uds?]]*AP_Enhedspris*((1+Tidstabel[[#This Row],[Kalkulationsrente]])^-Tidstabel[[#This Row],[År]])*((1+PrisudviklingGenerelt)^Tidstabel[[#This Row],[År]]))),BlankTegn)</f>
        <v>.</v>
      </c>
      <c r="CA15" s="262" t="str">
        <f>IFERROR(IF(Tidstabel[[#This Row],[År]]&gt;Input_Tidshorisont,BlankTegn,
IF(Tidstabel[[#This Row],[År]]=0,0,Tidstabel[[#This Row],[AP_Uds?]]*-AP_Enhedspris*AP_Genoprettelse*((1+Tidstabel[[#This Row],[Kalkulationsrente]])^-Tidstabel[[#This Row],[År]])*((1+PrisudviklingGenerelt)^Tidstabel[[#This Row],[År]]))),BlankTegn)</f>
        <v>.</v>
      </c>
      <c r="CB15" s="245">
        <f>IFERROR(IF(Tidstabel[[#This Row],[År]]&gt;Input_Tidshorisont,BlankTegn,
IF(Tidstabel[[#This Row],[År]]=0,-SK_Enhedspris,0)),BlankTegn)</f>
        <v>0</v>
      </c>
      <c r="CC15" s="245" t="str">
        <f>IFERROR(IF(Tidstabel[[#This Row],[År]]&gt;Input_Tidshorisont,BlankTegn,
IF(Tidstabel[[#This Row],[År]]=0,SK_Enhedspris/SK_Levetid,CC14*((1+Tidstabel[[#This Row],[Kalkulationsrente]])^-1)*((1+PrisudviklingGenerelt)^1))),BlankTegn)</f>
        <v>.</v>
      </c>
      <c r="CD15" s="178" t="str">
        <f ca="1">IFERROR(IF(Tidstabel[[#This Row],[År]]&gt;Input_Tidshorisont,BlankTegn,
IF(SK_Vedligehold_i=1,IF(Tidstabel[[#This Row],[SK_Uds?]]=0,1,0),IF(MAX(CD14:OFFSET(CE14,2-SK_Vedligehold_i,0),Tidstabel[[#This Row],[SK_Uds?]])=0,1,0))),BlankTegn)</f>
        <v>.</v>
      </c>
      <c r="CE15" s="178" t="str">
        <f>IFERROR(IF(Tidstabel[[#This Row],[År]]&gt;Input_Tidshorisont,BlankTegn,
IF(Tidstabel[[#This Row],[År]]=0,1,IF(MOD(Tidstabel[[#This Row],[År]],SK_Levetid)=0,1,IF(Tidstabel[[#This Row],[År]]=Input_Tidshorisont,0,0)))),BlankTegn)</f>
        <v>.</v>
      </c>
      <c r="CF15" s="245" t="str">
        <f ca="1">IFERROR(IF(Tidstabel[[#This Row],[År]]&gt;Input_Tidshorisont,BlankTegn,
SK_Vedligehold_p*-SK_Enhedspris*Tidstabel[[#This Row],[SK_Ved?]]*((1+Tidstabel[[#This Row],[Kalkulationsrente]])^-Tidstabel[[#This Row],[År]])*((1+PrisudviklingGenerelt)^Tidstabel[[#This Row],[År]])),BlankTegn)</f>
        <v>.</v>
      </c>
      <c r="CG15" s="245" t="str">
        <f>IFERROR(IF(Tidstabel[[#This Row],[År]]&gt;Input_Tidshorisont,BlankTegn,
IF(Tidstabel[[#This Row],[År]]=0,SK_Enhedspris,SUM(CG14:CH14)*((1+Tidstabel[[#This Row],[Kalkulationsrente]])^-1)*((1+PrisudviklingGenerelt)^1)-Tidstabel[[#This Row],[SK_Afskrivning]])),BlankTegn)</f>
        <v>.</v>
      </c>
      <c r="CH15" s="245" t="str">
        <f>IFERROR(IF(Tidstabel[[#This Row],[År]]&gt;Input_Tidshorisont,BlankTegn,
IF(Tidstabel[[#This Row],[År]]=0,0,Tidstabel[[#This Row],[SK_Uds?]]*SK_Enhedspris*((1+Tidstabel[[#This Row],[Kalkulationsrente]])^-Tidstabel[[#This Row],[År]])*((1+PrisudviklingGenerelt)^Tidstabel[[#This Row],[År]]))),BlankTegn)</f>
        <v>.</v>
      </c>
      <c r="CI15" s="262" t="str">
        <f>IFERROR(IF(Tidstabel[[#This Row],[År]]&gt;Input_Tidshorisont,BlankTegn,
IF(Tidstabel[[#This Row],[År]]=0,0,Tidstabel[[#This Row],[SK_Uds?]]*-SK_Enhedspris*SK_Genoprettelse*((1+Tidstabel[[#This Row],[Kalkulationsrente]])^-Tidstabel[[#This Row],[År]])*((1+PrisudviklingGenerelt)^Tidstabel[[#This Row],[År]]))),BlankTegn)</f>
        <v>.</v>
      </c>
      <c r="CJ15" s="19"/>
    </row>
    <row r="16" spans="1:88">
      <c r="A16" s="250">
        <v>9</v>
      </c>
      <c r="B16" s="250">
        <f>Input_Etableringsår+Tidstabel[[#This Row],[År]]</f>
        <v>2033</v>
      </c>
      <c r="C16" s="274" cm="1">
        <f t="array" ref="C16">_xlfn.IFS(Tidstabel[[#This Row],[År]]&gt;KR_Trin3_Tærskel,KR_Trin3_Rente,Tidstabel[[#This Row],[År]]&gt;KR_Trin2_Tærskel,KR_Trin2_Rente,Tidstabel[[#This Row],[År]]&gt;KR_Trin1_Tærskel,KR_Trin1_Rente,Tidstabel[[#This Row],[År]]&gt;KR_Trin0_Tærskel,KR_Trin0_Rente)</f>
        <v>3.5000000000000003E-2</v>
      </c>
      <c r="D16" s="142" t="str" cm="1">
        <f t="array" ref="D16">IFERROR(
INDEX(Range_Materiale_ÅrligeEmissioner,MATCH(1,(Materialedata[Komponent]=FB_Titel)*(Materialedata[Materiale]=FB_Materiale),0),MATCH(Tidstabel[[#This Row],[År]],Range_Materiale_År,0)),BlankTegn)</f>
        <v>.</v>
      </c>
      <c r="E16" s="142" t="str" cm="1">
        <f t="array" ref="E16">IFERROR(
INDEX(Range_Materiale_ÅrligeEmissioner,MATCH(1,(Materialedata[Komponent]=SK_Titel)*(Materialedata[Materiale]=SK_Materiale),0),MATCH(Tidstabel[[#This Row],[År]],Range_Materiale_År,0)),BlankTegn)</f>
        <v>.</v>
      </c>
      <c r="F16" s="142" t="str" cm="1">
        <f t="array" ref="F16">IFERROR(
INDEX(Range_Materiale_ÅrligeEmissioner,MATCH(1,(Materialedata[Komponent]=EI_Titel)*(Materialedata[Materiale]=EI_Materiale),0),MATCH(Tidstabel[[#This Row],[År]],Range_Materiale_År,0)),BlankTegn)</f>
        <v>.</v>
      </c>
      <c r="G16" s="142" t="str" cm="1">
        <f t="array" ref="G16">IFERROR(
INDEX(Range_Materiale_ÅrligeEmissioner,MATCH(1,(Materialedata[Komponent]=AP_Titel)*(Materialedata[Materiale]=AP_Materiale),0),MATCH(Tidstabel[[#This Row],[År]],Range_Materiale_År,0)),BlankTegn)</f>
        <v>.</v>
      </c>
      <c r="H16" s="142" t="str" cm="1">
        <f t="array" ref="H16">IFERROR(
INDEX(Range_Materiale_ÅrligeEmissioner,MATCH(1,(Materialedata[Komponent]=VS_Titel)*(Materialedata[Materiale]=VS_Materiale),0),MATCH(Tidstabel[[#This Row],[År]],Range_Materiale_År,0)),BlankTegn)</f>
        <v>.</v>
      </c>
      <c r="I16" s="142" t="str">
        <f>IFERROR(
IF(SUM(Tidstabel[[#This Row],[Facadebeklædning]:[Vindspærre]])=0,BlankTegn,
SUM(Tidstabel[[#This Row],[Facadebeklædning]:[Vindspærre]])),BlankTegn)</f>
        <v>.</v>
      </c>
      <c r="J16" s="139">
        <f>IF(Tidstabel[[#This Row],[År]]&gt;Input_Tidshorisont,BlankTegn,
A5_ElVarmeBrændstofByggeplads)</f>
        <v>0.25</v>
      </c>
      <c r="K16" s="142" t="str">
        <f>IFERROR(IF(Tidstabel[[#This Row],[År]]&gt;Input_Tidshorisont,BlankTegn,
-1*INDEX(Range_Energi_ÅrligBesparelse,MATCH(Input_EksisterendeFacade,Energiberegning[Ydervæg],0),MATCH(Tidstabel[[#This Row],[Årstal]],Range_Energi_Årstal,0))),BlankTegn)</f>
        <v>.</v>
      </c>
      <c r="L16" s="142">
        <f>IF(Tidstabel[[#This Row],[År]]&gt;Input_Tidshorisont,BlankTegn,
(Tidstabel[[#This Row],[År]]+1)*(SUM(Vedligeholdelsesmaterialer[Facadefarve],Vedligeholdelsesmaterialer[Grunder og mellemmaling])/12+SUM(Vedligeholdelsesmaterialer[Puds])/30))</f>
        <v>3.2485428583333329</v>
      </c>
      <c r="M16" s="142" t="str">
        <f>IFERROR(IF(Tidstabel[[#This Row],[År]]&gt;Input_Tidshorisont,BlankTegn,
Tidstabel[[#This Row],[Materialer_Total]]+Tidstabel[[#This Row],[Byggeprocess]]),BlankTegn)</f>
        <v>.</v>
      </c>
      <c r="N16" s="142" t="str">
        <f>IFERROR(IF(Tidstabel[[#This Row],[År]]&gt;Input_Tidshorisont,BlankTegn,
Tidstabel[[#This Row],[Energibesparelse]]+Tidstabel[[#This Row],[Emission_Brutto]]),BlankTegn)</f>
        <v>.</v>
      </c>
      <c r="O16" s="142" t="str">
        <f>IFERROR(IF(Tidstabel[[#This Row],[År]]&gt;Input_Tidshorisont,BlankTegn,
Tidstabel[[#This Row],[Emission_Netto]]-Tidstabel[[#This Row],[Vedligehold_EksisterendeFacade]]),BlankTegn)</f>
        <v>.</v>
      </c>
      <c r="P16" s="271" t="str">
        <f>IFERROR(IF(Tidstabel[[#This Row],[År]]&gt;Input_Tidshorisont,BlankTegn,
IF(AND(Tidstabel[[#This Row],[Emission_Netto]]-Tidstabel[[#This Row],[Vedligehold_EksisterendeFacade]]&gt;0,N17-L17&lt;0),-1,IF(AND(Tidstabel[[#This Row],[Emission_Netto]]-Tidstabel[[#This Row],[Vedligehold_EksisterendeFacade]]&lt;0,N17-L17&gt;0),1,0))),BlankTegn)</f>
        <v>.</v>
      </c>
      <c r="Q16" s="174" t="str">
        <f>IF(Tidstabel[[#This Row],[År]]&gt;Input_Tidshorisont,BlankTegn,
IF(Tidstabel[[#This Row],[LCA-Skæring]]=-1,SUM(Tidstabel[[#This Row],[År]]*(1-ABS(Tidstabel[[#This Row],[LCA-Difference]])/(ABS(Tidstabel[[#This Row],[LCA-Difference]])+ABS(O17))),A17*(1-ABS(O17)/(ABS(Tidstabel[[#This Row],[LCA-Difference]])+ABS(O17)))),"-"))</f>
        <v>-</v>
      </c>
      <c r="R16" s="174" t="str">
        <f>IF(Tidstabel[[#This Row],[År]]&gt;Input_Tidshorisont,BlankTegn,
IF(Tidstabel[[#This Row],[LCA-Skæring]]=-1,SUM(Tidstabel[[#This Row],[Emission_Netto]]*(1-ABS(Tidstabel[[#This Row],[LCA-Difference]])/(ABS(Tidstabel[[#This Row],[LCA-Difference]])+ABS(O17))),N17*(1-ABS(O17)/(ABS(Tidstabel[[#This Row],[LCA-Difference]])+ABS(O17)))),"-"))</f>
        <v>-</v>
      </c>
      <c r="S16" s="174" t="str">
        <f>IF(Tidstabel[[#This Row],[År]]&gt;Input_Tidshorisont,BlankTegn,
IF(Tidstabel[[#This Row],[LCA-Skæring]]=1,SUM(Tidstabel[[#This Row],[År]]*(1-ABS(Tidstabel[[#This Row],[LCA-Difference]])/(ABS(Tidstabel[[#This Row],[LCA-Difference]])+ABS(O17))),A17*(1-ABS(O17)/(ABS(Tidstabel[[#This Row],[LCA-Difference]])+ABS(O17)))),"-"))</f>
        <v>-</v>
      </c>
      <c r="T16" s="264" t="str">
        <f>IF(Tidstabel[[#This Row],[År]]&gt;Input_Tidshorisont,BlankTegn,
IF(Tidstabel[[#This Row],[LCA-Skæring]]=1,SUM(Tidstabel[[#This Row],[Emission_Netto]]*(1-ABS(Tidstabel[[#This Row],[LCA-Difference]])/(ABS(Tidstabel[[#This Row],[LCA-Difference]])+ABS(O17))),N17*(1-ABS(O17)/(ABS(Tidstabel[[#This Row],[LCA-Difference]])+ABS(O17)))),"-"))</f>
        <v>-</v>
      </c>
      <c r="U16" s="142" t="str">
        <f ca="1">IFERROR(IF(Tidstabel[[#This Row],[År]]&gt;Input_Tidshorisont,BlankTegn,
Tidstabel[[#This Row],[NPV_Klimafacade]]-Tidstabel[[#This Row],[NPV_Eksisterende]]),BlankTegn)</f>
        <v>.</v>
      </c>
      <c r="V16" s="271" t="str">
        <f ca="1">IFERROR(IF(Tidstabel[[#This Row],[År]]&gt;Input_Tidshorisont,BlankTegn,
IF(AND(Tidstabel[[#This Row],[NPV_Klimafacade]]-Tidstabel[[#This Row],[NPV_Eksisterende]]&gt;0,AB17-AA17&lt;0),1,IF(AND(Tidstabel[[#This Row],[NPV_Klimafacade]]-Tidstabel[[#This Row],[NPV_Eksisterende]]&lt;0,AB17-AA17&gt;0),-1,0))),BlankTegn)</f>
        <v>.</v>
      </c>
      <c r="W16" s="174" t="str">
        <f ca="1">IF(Tidstabel[[#This Row],[År]]&gt;Input_Tidshorisont,BlankTegn,
IF(Tidstabel[[#This Row],[LCC-Skæring]]=-1,SUM(Tidstabel[[#This Row],[År]]*(1-ABS(Tidstabel[[#This Row],[LCC-Difference]])/(ABS(Tidstabel[[#This Row],[LCC-Difference]])+ABS(U17))),A17*(1-ABS(U17)/(ABS(Tidstabel[[#This Row],[LCC-Difference]])+ABS(U17)))),"-"))</f>
        <v>-</v>
      </c>
      <c r="X16" s="174" t="str">
        <f ca="1">IF(Tidstabel[[#This Row],[År]]&gt;Input_Tidshorisont,BlankTegn,
IF(Tidstabel[[#This Row],[LCC-Skæring]]=-1,SUM(Tidstabel[[#This Row],[NPV_Klimafacade]]*(1-ABS(Tidstabel[[#This Row],[LCC-Difference]])/(ABS(Tidstabel[[#This Row],[LCC-Difference]])+ABS(U17))),AB17*(1-ABS(U17)/(ABS(Tidstabel[[#This Row],[LCC-Difference]])+ABS(U17)))),"-"))</f>
        <v>-</v>
      </c>
      <c r="Y16" s="174" t="str">
        <f ca="1">IF(Tidstabel[[#This Row],[År]]&gt;Input_Tidshorisont,BlankTegn,
IF(Tidstabel[[#This Row],[LCC-Skæring]]=1,SUM(Tidstabel[[#This Row],[År]]*(1-ABS(Tidstabel[[#This Row],[LCC-Difference]])/(ABS(Tidstabel[[#This Row],[LCC-Difference]])+ABS(U17))),A17*(1-ABS(U17)/(ABS(Tidstabel[[#This Row],[LCC-Difference]])+ABS(U17)))),"-"))</f>
        <v>-</v>
      </c>
      <c r="Z16" s="264" t="str">
        <f ca="1">IF(Tidstabel[[#This Row],[År]]&gt;Input_Tidshorisont,BlankTegn,
IF(Tidstabel[[#This Row],[LCC-Skæring]]=1,SUM(Tidstabel[[#This Row],[NPV_Klimafacade]]*(1-ABS(Tidstabel[[#This Row],[LCC-Difference]])/(ABS(Tidstabel[[#This Row],[LCC-Difference]])+ABS(U17))),AB17*(1-ABS(U17)/(ABS(Tidstabel[[#This Row],[LCC-Difference]])+ABS(U17)))),"-"))</f>
        <v>-</v>
      </c>
      <c r="AA16" s="142">
        <f ca="1">IF(Tidstabel[[#This Row],[År]]&gt;Input_Tidshorisont,BlankTegn,
Tidstabel[[#This Row],[EF_Vedligehold_Aggregeret]])</f>
        <v>-91.657086111075472</v>
      </c>
      <c r="AB16"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16" s="142" t="str">
        <f>IFERROR(IF(Tidstabel[[#This Row],[År]]&gt;Input_Tidshorisont,BlankTegn,
Tidstabel[[#This Row],[KF_Anskaffelse_Aggregeret]]+Tidstabel[[#This Row],[KF_Engangsudgifter_Aggregeret]]),BlankTegn)</f>
        <v>.</v>
      </c>
      <c r="AD16" s="174">
        <f ca="1">IFERROR(IF(Tidstabel[[#This Row],[År]]&gt;Input_Tidshorisont,BlankTegn,
IF(Tidstabel[[#This Row],[År]]=0,0,Tidstabel[[#This Row],[NPV_Eksisterende]]*(Tidstabel[[#This Row],[Kalkulationsrente]]/(1-(1+Tidstabel[[#This Row],[Kalkulationsrente]])^-Tidstabel[[#This Row],[År]])))),BlankTegn)</f>
        <v>-12.04795781269801</v>
      </c>
      <c r="AE16" s="264" t="str">
        <f ca="1">IFERROR(IF(Tidstabel[[#This Row],[År]]&gt;Input_Tidshorisont,BlankTegn,
IF(Tidstabel[[#This Row],[År]]=0,0,Tidstabel[[#This Row],[NPV_Klimafacade]]*(Tidstabel[[#This Row],[Kalkulationsrente]]/(1-(1+Tidstabel[[#This Row],[Kalkulationsrente]])^-Tidstabel[[#This Row],[År]])))),BlankTegn)</f>
        <v>.</v>
      </c>
      <c r="AF16" s="270">
        <f ca="1">IF(Tidstabel[[#This Row],[År]]&gt;Input_Tidshorisont,BlankTegn,
IF(EF_Vedligehold_i=1,IF(Tidstabel[[#This Row],[EF_Uds?]]=0,1,0),IF(MAX(AF15:OFFSET(AG15,2-EF_Vedligehold_i,0),Tidstabel[[#This Row],[EF_Uds?]])=0,1,0)))</f>
        <v>1</v>
      </c>
      <c r="AG16" s="181">
        <f>IF(Tidstabel[[#This Row],[År]]&gt;Input_Tidshorisont,BlankTegn,0)</f>
        <v>0</v>
      </c>
      <c r="AH16" s="263">
        <f ca="1">IF(Tidstabel[[#This Row],[År]]&gt;Input_Tidshorisont,BlankTegn,
Tidstabel[[#This Row],[EF_Ved?]]*EF_Vedligehold_p*-EF_Enhedspris*((1+Tidstabel[[#This Row],[Kalkulationsrente]])^-Tidstabel[[#This Row],[År]])*((1+PrisudviklingGenerelt)^Tidstabel[[#This Row],[År]]))</f>
        <v>-7.8129753948473457</v>
      </c>
      <c r="AI16" s="262">
        <f ca="1">IF(Tidstabel[[#This Row],[År]]&gt;Input_Tidshorisont,BlankTegn,
IF(Tidstabel[[#This Row],[År]]=0,Tidstabel[[#This Row],[EF_Vedligehold]],AI15+Tidstabel[[#This Row],[EF_Vedligehold]]))</f>
        <v>-91.657086111075472</v>
      </c>
      <c r="AJ16" s="245">
        <f>IFERROR(IF(Tidstabel[[#This Row],[År]]&gt;Input_Tidshorisont,BlankTegn,
Tidstabel[[#This Row],[FB_Anskaffelse]]+Tidstabel[[#This Row],[VS_Anskaffelse]]+Tidstabel[[#This Row],[EI_Anskaffelse]]+Tidstabel[[#This Row],[AP_Anskaffelse]]+Tidstabel[[#This Row],[SK_Anskaffelse]]),BlankTegn)</f>
        <v>0</v>
      </c>
      <c r="AK16" s="245" t="str">
        <f>IFERROR(IF(Tidstabel[[#This Row],[År]]&gt;Input_Tidshorisont,BlankTegn,
IF(Tidstabel[[#This Row],[År]]=0,Tidstabel[[#This Row],[KF_Anskaffelse]],AK15+Tidstabel[[#This Row],[KF_Anskaffelse]])),BlankTegn)</f>
        <v>.</v>
      </c>
      <c r="AL16" s="246" t="str">
        <f ca="1">IFERROR(IF(Tidstabel[[#This Row],[År]]&gt;Input_Tidshorisont,BlankTegn,
Tidstabel[[#This Row],[FB_Vedligehold]]+Tidstabel[[#This Row],[VS_Vedligehold]]+Tidstabel[[#This Row],[EI_Vedligehold]]+Tidstabel[[#This Row],[AP_Vedligehold]]+Tidstabel[[#This Row],[SK_Vedligehold]]),BlankTegn)</f>
        <v>.</v>
      </c>
      <c r="AM16" s="245" t="str">
        <f ca="1">IFERROR(IF(Tidstabel[[#This Row],[År]]&gt;Input_Tidshorisont,BlankTegn,
IF(Tidstabel[[#This Row],[År]]=0,Tidstabel[[#This Row],[KF_Vedligehold]],AM15+Tidstabel[[#This Row],[KF_Vedligehold]])),BlankTegn)</f>
        <v>.</v>
      </c>
      <c r="AN16"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16"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16" s="245" t="str">
        <f>IFERROR(IF(Tidstabel[[#This Row],[År]]&gt;Input_Tidshorisont,BlankTegn,
IF(Tidstabel[[#This Row],[År]]=0,Tidstabel[[#This Row],[KF_Udskiftning_Komponent]],AP15+Tidstabel[[#This Row],[KF_Udskiftning_Komponent]])),BlankTegn)</f>
        <v>.</v>
      </c>
      <c r="AQ16" s="245">
        <f>IF(Tidstabel[[#This Row],[År]]&gt;Input_Tidshorisont,BlankTegn,
IF(Tidstabel[[#This Row],[År]]=0,-SUM(Engangsudgifter[Udgift]),0))</f>
        <v>0</v>
      </c>
      <c r="AR16" s="245">
        <f>IFERROR(IF(Tidstabel[[#This Row],[År]]&gt;Input_Tidshorisont,BlankTegn,
IF(Tidstabel[[#This Row],[År]]=0,Tidstabel[[#This Row],[KF_Engangsudgifter]],AR15+Tidstabel[[#This Row],[KF_Engangsudgifter]])),BlankTegn)</f>
        <v>0</v>
      </c>
      <c r="AS16" s="315" t="str">
        <f>IFERROR(IF(Tidstabel[[#This Row],[År]]&gt;Input_Tidshorisont,BlankTegn,
-Energibesparelse_Årlig),BlankTegn)</f>
        <v>.</v>
      </c>
      <c r="AT16" s="245" t="str">
        <f>IFERROR(IF(Tidstabel[[#This Row],[År]]&gt;Input_Tidshorisont,BlankTegn,
IF(Tidstabel[[#This Row],[År]]=0,0,-Tidstabel[[#This Row],[KF_Energiforbrug]]*Input_Fjernvarmepris*((1+Tidstabel[[#This Row],[Kalkulationsrente]])^-Tidstabel[[#This Row],[År]])*((1+PrisudviklingFjernvarme)^Tidstabel[[#This Row],[År]]))),BlankTegn)</f>
        <v>.</v>
      </c>
      <c r="AU16" s="262" t="str">
        <f>IFERROR(IF(Tidstabel[[#This Row],[År]]&gt;Input_Tidshorisont,BlankTegn,
IF(Tidstabel[[#This Row],[År]]=0,Tidstabel[[#This Row],[KF_Forsyning]],AU15+Tidstabel[[#This Row],[KF_Forsyning]])),BlankTegn)</f>
        <v>.</v>
      </c>
      <c r="AV16" s="245">
        <f>IFERROR(IF(Tidstabel[[#This Row],[År]]&gt;Input_Tidshorisont,BlankTegn,
IF(Tidstabel[[#This Row],[År]]=0,-FB_Enhedspris,0)),BlankTegn)</f>
        <v>0</v>
      </c>
      <c r="AW16" s="245" t="str">
        <f>IFERROR(IF(Tidstabel[[#This Row],[År]]&gt;Input_Tidshorisont,BlankTegn,
IF(Tidstabel[[#This Row],[År]]=0,FB_Enhedspris/FB_Levetid,AW15*((1+Tidstabel[[#This Row],[Kalkulationsrente]])^-1)*((1+PrisudviklingGenerelt)^1))),BlankTegn)</f>
        <v>.</v>
      </c>
      <c r="AX16" s="178" t="str">
        <f ca="1">IFERROR(IF(Tidstabel[[#This Row],[År]]&gt;Input_Tidshorisont,BlankTegn,
IF(FB_Vedligehold_i=1,IF(Tidstabel[[#This Row],[FB_Uds?]]=0,1,0),IF(MAX(AX15:OFFSET(AY15,2-FB_Vedligehold_i,0),Tidstabel[[#This Row],[FB_Uds?]])=0,1,0))),BlankTegn)</f>
        <v>.</v>
      </c>
      <c r="AY16" s="178" t="str">
        <f>IFERROR(IF(Tidstabel[[#This Row],[År]]&gt;Input_Tidshorisont,BlankTegn,
IF(Tidstabel[[#This Row],[År]]=0,1,IF(MOD(Tidstabel[[#This Row],[År]],FB_Levetid)=0,1,IF(Tidstabel[[#This Row],[År]]=Input_Tidshorisont,0,0)))),BlankTegn)</f>
        <v>.</v>
      </c>
      <c r="AZ16" s="245" t="str">
        <f ca="1">IFERROR(IF(Tidstabel[[#This Row],[År]]&gt;Input_Tidshorisont,BlankTegn,
FB_Vedligehold_p*-FB_Enhedspris*Tidstabel[[#This Row],[FB_Ved?]]*((1+Tidstabel[[#This Row],[Kalkulationsrente]])^-Tidstabel[[#This Row],[År]])*((1+PrisudviklingGenerelt)^Tidstabel[[#This Row],[År]])),BlankTegn)</f>
        <v>.</v>
      </c>
      <c r="BA16" s="245" t="str">
        <f>IFERROR(IF(Tidstabel[[#This Row],[År]]&gt;Input_Tidshorisont,BlankTegn,
IF(Tidstabel[[#This Row],[År]]=0,FB_Enhedspris,SUM(BA15:BB15)*((1+Tidstabel[[#This Row],[Kalkulationsrente]])^-1)*((1+PrisudviklingGenerelt)^1)-Tidstabel[[#This Row],[FB_Afskrivning]])),BlankTegn)</f>
        <v>.</v>
      </c>
      <c r="BB16" s="245" t="str">
        <f>IFERROR(IF(Tidstabel[[#This Row],[År]]&gt;Input_Tidshorisont,BlankTegn,
IF(Tidstabel[[#This Row],[År]]=0,0,Tidstabel[[#This Row],[FB_Uds?]]*FB_Enhedspris*((1+Tidstabel[[#This Row],[Kalkulationsrente]])^-Tidstabel[[#This Row],[År]])*((1+PrisudviklingGenerelt)^Tidstabel[[#This Row],[År]]))),BlankTegn)</f>
        <v>.</v>
      </c>
      <c r="BC16" s="262" t="str">
        <f>IFERROR(IF(Tidstabel[[#This Row],[År]]&gt;Input_Tidshorisont,BlankTegn,
IF(Tidstabel[[#This Row],[År]]=0,0,Tidstabel[[#This Row],[FB_Uds?]]*-FB_Enhedspris*FB_Genoprettelse*((1+Tidstabel[[#This Row],[Kalkulationsrente]])^-Tidstabel[[#This Row],[År]])*((1+PrisudviklingGenerelt)^Tidstabel[[#This Row],[År]]))),BlankTegn)</f>
        <v>.</v>
      </c>
      <c r="BD16" s="245">
        <f>IFERROR(IF(Tidstabel[[#This Row],[År]]&gt;Input_Tidshorisont,BlankTegn,
IF(Tidstabel[[#This Row],[År]]=0,-VS_Enhedspris,0)),BlankTegn)</f>
        <v>0</v>
      </c>
      <c r="BE16" s="245" t="str">
        <f>IFERROR(IF(Tidstabel[[#This Row],[År]]&gt;Input_Tidshorisont,BlankTegn,
IF(Tidstabel[[#This Row],[År]]=0,VS_Enhedspris/VS_Levetid,BE15*((1+Tidstabel[[#This Row],[Kalkulationsrente]])^-1)*((1+PrisudviklingGenerelt)^1))),BlankTegn)</f>
        <v>.</v>
      </c>
      <c r="BF16" s="178" t="str">
        <f ca="1">IFERROR(IF(Tidstabel[[#This Row],[År]]&gt;Input_Tidshorisont,BlankTegn,
IF(VS_Vedligehold_i=1,IF(Tidstabel[[#This Row],[VS_Uds?]]=0,1,0),IF(MAX(BF15:OFFSET(BG15,2-VS_Vedligehold_i,0),Tidstabel[[#This Row],[VS_Uds?]])=0,1,0))),BlankTegn)</f>
        <v>.</v>
      </c>
      <c r="BG16" s="178" t="str">
        <f>IFERROR(IF(Tidstabel[[#This Row],[År]]&gt;Input_Tidshorisont,BlankTegn,
IF(Tidstabel[[#This Row],[År]]=0,1,IF(MOD(Tidstabel[[#This Row],[År]],VS_Levetid)=0,1,IF(Tidstabel[[#This Row],[År]]=Input_Tidshorisont,0,0)))),BlankTegn)</f>
        <v>.</v>
      </c>
      <c r="BH16" s="245" t="str">
        <f ca="1">IFERROR(IF(Tidstabel[[#This Row],[År]]&gt;Input_Tidshorisont,BlankTegn,
VS_Vedligehold_p*-VS_Enhedspris*Tidstabel[[#This Row],[VS_Ved?]]*((1+Tidstabel[[#This Row],[Kalkulationsrente]])^-Tidstabel[[#This Row],[År]])*((1+PrisudviklingGenerelt)^Tidstabel[[#This Row],[År]])),BlankTegn)</f>
        <v>.</v>
      </c>
      <c r="BI16" s="245" t="str">
        <f>IFERROR(IF(Tidstabel[[#This Row],[År]]&gt;Input_Tidshorisont,BlankTegn,
IF(Tidstabel[[#This Row],[År]]=0,VS_Enhedspris,SUM(BI15:BJ15)*((1+Tidstabel[[#This Row],[Kalkulationsrente]])^-1)*((1+PrisudviklingGenerelt)^1)-Tidstabel[[#This Row],[VS_Afskrivning]])),BlankTegn)</f>
        <v>.</v>
      </c>
      <c r="BJ16" s="245" t="str">
        <f>IFERROR(IF(Tidstabel[[#This Row],[År]]&gt;Input_Tidshorisont,BlankTegn,
IF(Tidstabel[[#This Row],[År]]=0,0,Tidstabel[[#This Row],[VS_Uds?]]*VS_Enhedspris*((1+Tidstabel[[#This Row],[Kalkulationsrente]])^-Tidstabel[[#This Row],[År]])*((1+PrisudviklingGenerelt)^Tidstabel[[#This Row],[År]]))),BlankTegn)</f>
        <v>.</v>
      </c>
      <c r="BK16" s="262" t="str">
        <f>IFERROR(IF(Tidstabel[[#This Row],[År]]&gt;Input_Tidshorisont,BlankTegn,
IF(Tidstabel[[#This Row],[År]]=0,0,Tidstabel[[#This Row],[VS_Uds?]]*-VS_Enhedspris*VS_Genoprettelse*((1+Tidstabel[[#This Row],[Kalkulationsrente]])^-Tidstabel[[#This Row],[År]])*((1+PrisudviklingGenerelt)^Tidstabel[[#This Row],[År]]))),BlankTegn)</f>
        <v>.</v>
      </c>
      <c r="BL16" s="245">
        <f>IFERROR(IF(Tidstabel[[#This Row],[År]]&gt;Input_Tidshorisont,BlankTegn,
IF(Tidstabel[[#This Row],[År]]=0,-EI_Enhedspris,0)),BlankTegn)</f>
        <v>0</v>
      </c>
      <c r="BM16" s="245" t="str">
        <f>IFERROR(IF(Tidstabel[[#This Row],[År]]&gt;Input_Tidshorisont,BlankTegn,
IF(Tidstabel[[#This Row],[År]]=0,EI_Enhedspris/EI_Levetid,BM15*((1+Tidstabel[[#This Row],[Kalkulationsrente]])^-1)*((1+PrisudviklingGenerelt)^1))),BlankTegn)</f>
        <v>.</v>
      </c>
      <c r="BN16" s="178" t="str">
        <f ca="1">IFERROR(IF(Tidstabel[[#This Row],[År]]&gt;Input_Tidshorisont,BlankTegn,
IF(EI_Vedligehold_i=1,IF(Tidstabel[[#This Row],[EI_Uds?]]=0,1,0),IF(MAX(BN15:OFFSET(BO15,2-EI_Vedligehold_i,0),Tidstabel[[#This Row],[EI_Uds?]])=0,1,0))),BlankTegn)</f>
        <v>.</v>
      </c>
      <c r="BO16" s="178" t="str">
        <f>IFERROR(IF(Tidstabel[[#This Row],[År]]&gt;Input_Tidshorisont,BlankTegn,
IF(Tidstabel[[#This Row],[År]]=0,1,IF(MOD(Tidstabel[[#This Row],[År]],EI_Levetid)=0,1,IF(Tidstabel[[#This Row],[År]]=Input_Tidshorisont,0,0)))),BlankTegn)</f>
        <v>.</v>
      </c>
      <c r="BP16" s="245" t="str">
        <f ca="1">IFERROR(IF(Tidstabel[[#This Row],[År]]&gt;Input_Tidshorisont,BlankTegn,
EI_Vedligehold_p*-EI_Enhedspris*Tidstabel[[#This Row],[EI_Ved?]]*((1+Tidstabel[[#This Row],[Kalkulationsrente]])^-Tidstabel[[#This Row],[År]])*((1+PrisudviklingGenerelt)^Tidstabel[[#This Row],[År]])),BlankTegn)</f>
        <v>.</v>
      </c>
      <c r="BQ16" s="245" t="str">
        <f>IFERROR(IF(Tidstabel[[#This Row],[År]]&gt;Input_Tidshorisont,BlankTegn,
IF(Tidstabel[[#This Row],[År]]=0,EI_Enhedspris,SUM(BQ15:BR15)*((1+Tidstabel[[#This Row],[Kalkulationsrente]])^-1)*((1+PrisudviklingGenerelt)^1)-Tidstabel[[#This Row],[EI_Afskrivning]])),BlankTegn)</f>
        <v>.</v>
      </c>
      <c r="BR16" s="245" t="str">
        <f>IFERROR(IF(Tidstabel[[#This Row],[År]]&gt;Input_Tidshorisont,BlankTegn,
IF(Tidstabel[[#This Row],[År]]=0,0,Tidstabel[[#This Row],[EI_Uds?]]*EI_Enhedspris*((1+Tidstabel[[#This Row],[Kalkulationsrente]])^-Tidstabel[[#This Row],[År]])*((1+PrisudviklingGenerelt)^Tidstabel[[#This Row],[År]]))),BlankTegn)</f>
        <v>.</v>
      </c>
      <c r="BS16" s="262" t="str">
        <f>IFERROR(IF(Tidstabel[[#This Row],[År]]&gt;Input_Tidshorisont,BlankTegn,
IF(Tidstabel[[#This Row],[År]]=0,0,Tidstabel[[#This Row],[EI_Uds?]]*-EI_Enhedspris*EI_Genoprettelse*((1+Tidstabel[[#This Row],[Kalkulationsrente]])^-Tidstabel[[#This Row],[År]])*((1+PrisudviklingGenerelt)^Tidstabel[[#This Row],[År]]))),BlankTegn)</f>
        <v>.</v>
      </c>
      <c r="BT16" s="245">
        <f>IFERROR(IF(Tidstabel[[#This Row],[År]]&gt;Input_Tidshorisont,BlankTegn,
IF(Tidstabel[[#This Row],[År]]=0,-AP_Enhedspris,0)),BlankTegn)</f>
        <v>0</v>
      </c>
      <c r="BU16" s="245" t="str">
        <f>IFERROR(IF(Tidstabel[[#This Row],[År]]&gt;Input_Tidshorisont,BlankTegn,
IF(Tidstabel[[#This Row],[År]]=0,AP_Enhedspris/AP_Levetid,BU15*((1+Tidstabel[[#This Row],[Kalkulationsrente]])^-1)*((1+PrisudviklingGenerelt)^1))),BlankTegn)</f>
        <v>.</v>
      </c>
      <c r="BV16" s="178" t="str">
        <f ca="1">IFERROR(IF(Tidstabel[[#This Row],[År]]&gt;Input_Tidshorisont,BlankTegn,
IF(AP_Vedligehold_i=1,IF(Tidstabel[[#This Row],[AP_Uds?]]=0,1,0),IF(MAX(BV15:OFFSET(BW15,2-AP_Vedligehold_i,0),Tidstabel[[#This Row],[AP_Uds?]])=0,1,0))),BlankTegn)</f>
        <v>.</v>
      </c>
      <c r="BW16" s="178" t="str">
        <f>IFERROR(IF(Tidstabel[[#This Row],[År]]&gt;Input_Tidshorisont,BlankTegn,
IF(Tidstabel[[#This Row],[År]]=0,1,IF(MOD(Tidstabel[[#This Row],[År]],AP_Levetid)=0,1,IF(Tidstabel[[#This Row],[År]]=Input_Tidshorisont,0,0)))),BlankTegn)</f>
        <v>.</v>
      </c>
      <c r="BX16" s="245" t="str">
        <f ca="1">IFERROR(IF(Tidstabel[[#This Row],[År]]&gt;Input_Tidshorisont,BlankTegn,
AP_Vedligehold_p*-AP_Enhedspris*Tidstabel[[#This Row],[AP_Ved?]]*((1+Tidstabel[[#This Row],[Kalkulationsrente]])^-Tidstabel[[#This Row],[År]])*((1+PrisudviklingGenerelt)^Tidstabel[[#This Row],[År]])),BlankTegn)</f>
        <v>.</v>
      </c>
      <c r="BY16" s="245" t="str">
        <f>IFERROR(IF(Tidstabel[[#This Row],[År]]&gt;Input_Tidshorisont,BlankTegn,
IF(Tidstabel[[#This Row],[År]]=0,AP_Enhedspris,SUM(BY15:BZ15)*((1+Tidstabel[[#This Row],[Kalkulationsrente]])^-1)*((1+PrisudviklingGenerelt)^1)-Tidstabel[[#This Row],[AP_Afskrivning]])),BlankTegn)</f>
        <v>.</v>
      </c>
      <c r="BZ16" s="245" t="str">
        <f>IFERROR(IF(Tidstabel[[#This Row],[År]]&gt;Input_Tidshorisont,BlankTegn,
IF(Tidstabel[[#This Row],[År]]=0,0,Tidstabel[[#This Row],[AP_Uds?]]*AP_Enhedspris*((1+Tidstabel[[#This Row],[Kalkulationsrente]])^-Tidstabel[[#This Row],[År]])*((1+PrisudviklingGenerelt)^Tidstabel[[#This Row],[År]]))),BlankTegn)</f>
        <v>.</v>
      </c>
      <c r="CA16" s="262" t="str">
        <f>IFERROR(IF(Tidstabel[[#This Row],[År]]&gt;Input_Tidshorisont,BlankTegn,
IF(Tidstabel[[#This Row],[År]]=0,0,Tidstabel[[#This Row],[AP_Uds?]]*-AP_Enhedspris*AP_Genoprettelse*((1+Tidstabel[[#This Row],[Kalkulationsrente]])^-Tidstabel[[#This Row],[År]])*((1+PrisudviklingGenerelt)^Tidstabel[[#This Row],[År]]))),BlankTegn)</f>
        <v>.</v>
      </c>
      <c r="CB16" s="245">
        <f>IFERROR(IF(Tidstabel[[#This Row],[År]]&gt;Input_Tidshorisont,BlankTegn,
IF(Tidstabel[[#This Row],[År]]=0,-SK_Enhedspris,0)),BlankTegn)</f>
        <v>0</v>
      </c>
      <c r="CC16" s="245" t="str">
        <f>IFERROR(IF(Tidstabel[[#This Row],[År]]&gt;Input_Tidshorisont,BlankTegn,
IF(Tidstabel[[#This Row],[År]]=0,SK_Enhedspris/SK_Levetid,CC15*((1+Tidstabel[[#This Row],[Kalkulationsrente]])^-1)*((1+PrisudviklingGenerelt)^1))),BlankTegn)</f>
        <v>.</v>
      </c>
      <c r="CD16" s="178" t="str">
        <f ca="1">IFERROR(IF(Tidstabel[[#This Row],[År]]&gt;Input_Tidshorisont,BlankTegn,
IF(SK_Vedligehold_i=1,IF(Tidstabel[[#This Row],[SK_Uds?]]=0,1,0),IF(MAX(CD15:OFFSET(CE15,2-SK_Vedligehold_i,0),Tidstabel[[#This Row],[SK_Uds?]])=0,1,0))),BlankTegn)</f>
        <v>.</v>
      </c>
      <c r="CE16" s="178" t="str">
        <f>IFERROR(IF(Tidstabel[[#This Row],[År]]&gt;Input_Tidshorisont,BlankTegn,
IF(Tidstabel[[#This Row],[År]]=0,1,IF(MOD(Tidstabel[[#This Row],[År]],SK_Levetid)=0,1,IF(Tidstabel[[#This Row],[År]]=Input_Tidshorisont,0,0)))),BlankTegn)</f>
        <v>.</v>
      </c>
      <c r="CF16" s="245" t="str">
        <f ca="1">IFERROR(IF(Tidstabel[[#This Row],[År]]&gt;Input_Tidshorisont,BlankTegn,
SK_Vedligehold_p*-SK_Enhedspris*Tidstabel[[#This Row],[SK_Ved?]]*((1+Tidstabel[[#This Row],[Kalkulationsrente]])^-Tidstabel[[#This Row],[År]])*((1+PrisudviklingGenerelt)^Tidstabel[[#This Row],[År]])),BlankTegn)</f>
        <v>.</v>
      </c>
      <c r="CG16" s="245" t="str">
        <f>IFERROR(IF(Tidstabel[[#This Row],[År]]&gt;Input_Tidshorisont,BlankTegn,
IF(Tidstabel[[#This Row],[År]]=0,SK_Enhedspris,SUM(CG15:CH15)*((1+Tidstabel[[#This Row],[Kalkulationsrente]])^-1)*((1+PrisudviklingGenerelt)^1)-Tidstabel[[#This Row],[SK_Afskrivning]])),BlankTegn)</f>
        <v>.</v>
      </c>
      <c r="CH16" s="245" t="str">
        <f>IFERROR(IF(Tidstabel[[#This Row],[År]]&gt;Input_Tidshorisont,BlankTegn,
IF(Tidstabel[[#This Row],[År]]=0,0,Tidstabel[[#This Row],[SK_Uds?]]*SK_Enhedspris*((1+Tidstabel[[#This Row],[Kalkulationsrente]])^-Tidstabel[[#This Row],[År]])*((1+PrisudviklingGenerelt)^Tidstabel[[#This Row],[År]]))),BlankTegn)</f>
        <v>.</v>
      </c>
      <c r="CI16" s="262" t="str">
        <f>IFERROR(IF(Tidstabel[[#This Row],[År]]&gt;Input_Tidshorisont,BlankTegn,
IF(Tidstabel[[#This Row],[År]]=0,0,Tidstabel[[#This Row],[SK_Uds?]]*-SK_Enhedspris*SK_Genoprettelse*((1+Tidstabel[[#This Row],[Kalkulationsrente]])^-Tidstabel[[#This Row],[År]])*((1+PrisudviklingGenerelt)^Tidstabel[[#This Row],[År]]))),BlankTegn)</f>
        <v>.</v>
      </c>
      <c r="CJ16" s="19"/>
    </row>
    <row r="17" spans="1:88">
      <c r="A17" s="250">
        <v>10</v>
      </c>
      <c r="B17" s="250">
        <f>Input_Etableringsår+Tidstabel[[#This Row],[År]]</f>
        <v>2034</v>
      </c>
      <c r="C17" s="274" cm="1">
        <f t="array" ref="C17">_xlfn.IFS(Tidstabel[[#This Row],[År]]&gt;KR_Trin3_Tærskel,KR_Trin3_Rente,Tidstabel[[#This Row],[År]]&gt;KR_Trin2_Tærskel,KR_Trin2_Rente,Tidstabel[[#This Row],[År]]&gt;KR_Trin1_Tærskel,KR_Trin1_Rente,Tidstabel[[#This Row],[År]]&gt;KR_Trin0_Tærskel,KR_Trin0_Rente)</f>
        <v>3.5000000000000003E-2</v>
      </c>
      <c r="D17" s="142" t="str" cm="1">
        <f t="array" ref="D17">IFERROR(
INDEX(Range_Materiale_ÅrligeEmissioner,MATCH(1,(Materialedata[Komponent]=FB_Titel)*(Materialedata[Materiale]=FB_Materiale),0),MATCH(Tidstabel[[#This Row],[År]],Range_Materiale_År,0)),BlankTegn)</f>
        <v>.</v>
      </c>
      <c r="E17" s="142" t="str" cm="1">
        <f t="array" ref="E17">IFERROR(
INDEX(Range_Materiale_ÅrligeEmissioner,MATCH(1,(Materialedata[Komponent]=SK_Titel)*(Materialedata[Materiale]=SK_Materiale),0),MATCH(Tidstabel[[#This Row],[År]],Range_Materiale_År,0)),BlankTegn)</f>
        <v>.</v>
      </c>
      <c r="F17" s="142" t="str" cm="1">
        <f t="array" ref="F17">IFERROR(
INDEX(Range_Materiale_ÅrligeEmissioner,MATCH(1,(Materialedata[Komponent]=EI_Titel)*(Materialedata[Materiale]=EI_Materiale),0),MATCH(Tidstabel[[#This Row],[År]],Range_Materiale_År,0)),BlankTegn)</f>
        <v>.</v>
      </c>
      <c r="G17" s="142" t="str" cm="1">
        <f t="array" ref="G17">IFERROR(
INDEX(Range_Materiale_ÅrligeEmissioner,MATCH(1,(Materialedata[Komponent]=AP_Titel)*(Materialedata[Materiale]=AP_Materiale),0),MATCH(Tidstabel[[#This Row],[År]],Range_Materiale_År,0)),BlankTegn)</f>
        <v>.</v>
      </c>
      <c r="H17" s="142" t="str" cm="1">
        <f t="array" ref="H17">IFERROR(
INDEX(Range_Materiale_ÅrligeEmissioner,MATCH(1,(Materialedata[Komponent]=VS_Titel)*(Materialedata[Materiale]=VS_Materiale),0),MATCH(Tidstabel[[#This Row],[År]],Range_Materiale_År,0)),BlankTegn)</f>
        <v>.</v>
      </c>
      <c r="I17" s="142" t="str">
        <f>IFERROR(
IF(SUM(Tidstabel[[#This Row],[Facadebeklædning]:[Vindspærre]])=0,BlankTegn,
SUM(Tidstabel[[#This Row],[Facadebeklædning]:[Vindspærre]])),BlankTegn)</f>
        <v>.</v>
      </c>
      <c r="J17" s="139">
        <f>IF(Tidstabel[[#This Row],[År]]&gt;Input_Tidshorisont,BlankTegn,
A5_ElVarmeBrændstofByggeplads)</f>
        <v>0.25</v>
      </c>
      <c r="K17" s="142" t="str">
        <f>IFERROR(IF(Tidstabel[[#This Row],[År]]&gt;Input_Tidshorisont,BlankTegn,
-1*INDEX(Range_Energi_ÅrligBesparelse,MATCH(Input_EksisterendeFacade,Energiberegning[Ydervæg],0),MATCH(Tidstabel[[#This Row],[Årstal]],Range_Energi_Årstal,0))),BlankTegn)</f>
        <v>.</v>
      </c>
      <c r="L17" s="142">
        <f>IF(Tidstabel[[#This Row],[År]]&gt;Input_Tidshorisont,BlankTegn,
(Tidstabel[[#This Row],[År]]+1)*(SUM(Vedligeholdelsesmaterialer[Facadefarve],Vedligeholdelsesmaterialer[Grunder og mellemmaling])/12+SUM(Vedligeholdelsesmaterialer[Puds])/30))</f>
        <v>3.5733971441666665</v>
      </c>
      <c r="M17" s="142" t="str">
        <f>IFERROR(IF(Tidstabel[[#This Row],[År]]&gt;Input_Tidshorisont,BlankTegn,
Tidstabel[[#This Row],[Materialer_Total]]+Tidstabel[[#This Row],[Byggeprocess]]),BlankTegn)</f>
        <v>.</v>
      </c>
      <c r="N17" s="142" t="str">
        <f>IFERROR(IF(Tidstabel[[#This Row],[År]]&gt;Input_Tidshorisont,BlankTegn,
Tidstabel[[#This Row],[Energibesparelse]]+Tidstabel[[#This Row],[Emission_Brutto]]),BlankTegn)</f>
        <v>.</v>
      </c>
      <c r="O17" s="142" t="str">
        <f>IFERROR(IF(Tidstabel[[#This Row],[År]]&gt;Input_Tidshorisont,BlankTegn,
Tidstabel[[#This Row],[Emission_Netto]]-Tidstabel[[#This Row],[Vedligehold_EksisterendeFacade]]),BlankTegn)</f>
        <v>.</v>
      </c>
      <c r="P17" s="271" t="str">
        <f>IFERROR(IF(Tidstabel[[#This Row],[År]]&gt;Input_Tidshorisont,BlankTegn,
IF(AND(Tidstabel[[#This Row],[Emission_Netto]]-Tidstabel[[#This Row],[Vedligehold_EksisterendeFacade]]&gt;0,N18-L18&lt;0),-1,IF(AND(Tidstabel[[#This Row],[Emission_Netto]]-Tidstabel[[#This Row],[Vedligehold_EksisterendeFacade]]&lt;0,N18-L18&gt;0),1,0))),BlankTegn)</f>
        <v>.</v>
      </c>
      <c r="Q17" s="174" t="str">
        <f>IF(Tidstabel[[#This Row],[År]]&gt;Input_Tidshorisont,BlankTegn,
IF(Tidstabel[[#This Row],[LCA-Skæring]]=-1,SUM(Tidstabel[[#This Row],[År]]*(1-ABS(Tidstabel[[#This Row],[LCA-Difference]])/(ABS(Tidstabel[[#This Row],[LCA-Difference]])+ABS(O18))),A18*(1-ABS(O18)/(ABS(Tidstabel[[#This Row],[LCA-Difference]])+ABS(O18)))),"-"))</f>
        <v>-</v>
      </c>
      <c r="R17" s="174" t="str">
        <f>IF(Tidstabel[[#This Row],[År]]&gt;Input_Tidshorisont,BlankTegn,
IF(Tidstabel[[#This Row],[LCA-Skæring]]=-1,SUM(Tidstabel[[#This Row],[Emission_Netto]]*(1-ABS(Tidstabel[[#This Row],[LCA-Difference]])/(ABS(Tidstabel[[#This Row],[LCA-Difference]])+ABS(O18))),N18*(1-ABS(O18)/(ABS(Tidstabel[[#This Row],[LCA-Difference]])+ABS(O18)))),"-"))</f>
        <v>-</v>
      </c>
      <c r="S17" s="174" t="str">
        <f>IF(Tidstabel[[#This Row],[År]]&gt;Input_Tidshorisont,BlankTegn,
IF(Tidstabel[[#This Row],[LCA-Skæring]]=1,SUM(Tidstabel[[#This Row],[År]]*(1-ABS(Tidstabel[[#This Row],[LCA-Difference]])/(ABS(Tidstabel[[#This Row],[LCA-Difference]])+ABS(O18))),A18*(1-ABS(O18)/(ABS(Tidstabel[[#This Row],[LCA-Difference]])+ABS(O18)))),"-"))</f>
        <v>-</v>
      </c>
      <c r="T17" s="264" t="str">
        <f>IF(Tidstabel[[#This Row],[År]]&gt;Input_Tidshorisont,BlankTegn,
IF(Tidstabel[[#This Row],[LCA-Skæring]]=1,SUM(Tidstabel[[#This Row],[Emission_Netto]]*(1-ABS(Tidstabel[[#This Row],[LCA-Difference]])/(ABS(Tidstabel[[#This Row],[LCA-Difference]])+ABS(O18))),N18*(1-ABS(O18)/(ABS(Tidstabel[[#This Row],[LCA-Difference]])+ABS(O18)))),"-"))</f>
        <v>-</v>
      </c>
      <c r="U17" s="142" t="str">
        <f ca="1">IFERROR(IF(Tidstabel[[#This Row],[År]]&gt;Input_Tidshorisont,BlankTegn,
Tidstabel[[#This Row],[NPV_Klimafacade]]-Tidstabel[[#This Row],[NPV_Eksisterende]]),BlankTegn)</f>
        <v>.</v>
      </c>
      <c r="V17" s="271" t="str">
        <f ca="1">IFERROR(IF(Tidstabel[[#This Row],[År]]&gt;Input_Tidshorisont,BlankTegn,
IF(AND(Tidstabel[[#This Row],[NPV_Klimafacade]]-Tidstabel[[#This Row],[NPV_Eksisterende]]&gt;0,AB18-AA18&lt;0),1,IF(AND(Tidstabel[[#This Row],[NPV_Klimafacade]]-Tidstabel[[#This Row],[NPV_Eksisterende]]&lt;0,AB18-AA18&gt;0),-1,0))),BlankTegn)</f>
        <v>.</v>
      </c>
      <c r="W17" s="174" t="str">
        <f ca="1">IF(Tidstabel[[#This Row],[År]]&gt;Input_Tidshorisont,BlankTegn,
IF(Tidstabel[[#This Row],[LCC-Skæring]]=-1,SUM(Tidstabel[[#This Row],[År]]*(1-ABS(Tidstabel[[#This Row],[LCC-Difference]])/(ABS(Tidstabel[[#This Row],[LCC-Difference]])+ABS(U18))),A18*(1-ABS(U18)/(ABS(Tidstabel[[#This Row],[LCC-Difference]])+ABS(U18)))),"-"))</f>
        <v>-</v>
      </c>
      <c r="X17" s="174" t="str">
        <f ca="1">IF(Tidstabel[[#This Row],[År]]&gt;Input_Tidshorisont,BlankTegn,
IF(Tidstabel[[#This Row],[LCC-Skæring]]=-1,SUM(Tidstabel[[#This Row],[NPV_Klimafacade]]*(1-ABS(Tidstabel[[#This Row],[LCC-Difference]])/(ABS(Tidstabel[[#This Row],[LCC-Difference]])+ABS(U18))),AB18*(1-ABS(U18)/(ABS(Tidstabel[[#This Row],[LCC-Difference]])+ABS(U18)))),"-"))</f>
        <v>-</v>
      </c>
      <c r="Y17" s="174" t="str">
        <f ca="1">IF(Tidstabel[[#This Row],[År]]&gt;Input_Tidshorisont,BlankTegn,
IF(Tidstabel[[#This Row],[LCC-Skæring]]=1,SUM(Tidstabel[[#This Row],[År]]*(1-ABS(Tidstabel[[#This Row],[LCC-Difference]])/(ABS(Tidstabel[[#This Row],[LCC-Difference]])+ABS(U18))),A18*(1-ABS(U18)/(ABS(Tidstabel[[#This Row],[LCC-Difference]])+ABS(U18)))),"-"))</f>
        <v>-</v>
      </c>
      <c r="Z17" s="264" t="str">
        <f ca="1">IF(Tidstabel[[#This Row],[År]]&gt;Input_Tidshorisont,BlankTegn,
IF(Tidstabel[[#This Row],[LCC-Skæring]]=1,SUM(Tidstabel[[#This Row],[NPV_Klimafacade]]*(1-ABS(Tidstabel[[#This Row],[LCC-Difference]])/(ABS(Tidstabel[[#This Row],[LCC-Difference]])+ABS(U18))),AB18*(1-ABS(U18)/(ABS(Tidstabel[[#This Row],[LCC-Difference]])+ABS(U18)))),"-"))</f>
        <v>-</v>
      </c>
      <c r="AA17" s="142">
        <f ca="1">IF(Tidstabel[[#This Row],[År]]&gt;Input_Tidshorisont,BlankTegn,
Tidstabel[[#This Row],[EF_Vedligehold_Aggregeret]])</f>
        <v>-99.205854608512524</v>
      </c>
      <c r="AB17"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17" s="142" t="str">
        <f>IFERROR(IF(Tidstabel[[#This Row],[År]]&gt;Input_Tidshorisont,BlankTegn,
Tidstabel[[#This Row],[KF_Anskaffelse_Aggregeret]]+Tidstabel[[#This Row],[KF_Engangsudgifter_Aggregeret]]),BlankTegn)</f>
        <v>.</v>
      </c>
      <c r="AD17" s="174">
        <f ca="1">IFERROR(IF(Tidstabel[[#This Row],[År]]&gt;Input_Tidshorisont,BlankTegn,
IF(Tidstabel[[#This Row],[År]]=0,0,Tidstabel[[#This Row],[NPV_Eksisterende]]*(Tidstabel[[#This Row],[Kalkulationsrente]]/(1-(1+Tidstabel[[#This Row],[Kalkulationsrente]])^-Tidstabel[[#This Row],[År]])))),BlankTegn)</f>
        <v>-11.928647658581111</v>
      </c>
      <c r="AE17" s="264" t="str">
        <f ca="1">IFERROR(IF(Tidstabel[[#This Row],[År]]&gt;Input_Tidshorisont,BlankTegn,
IF(Tidstabel[[#This Row],[År]]=0,0,Tidstabel[[#This Row],[NPV_Klimafacade]]*(Tidstabel[[#This Row],[Kalkulationsrente]]/(1-(1+Tidstabel[[#This Row],[Kalkulationsrente]])^-Tidstabel[[#This Row],[År]])))),BlankTegn)</f>
        <v>.</v>
      </c>
      <c r="AF17" s="270">
        <f ca="1">IF(Tidstabel[[#This Row],[År]]&gt;Input_Tidshorisont,BlankTegn,
IF(EF_Vedligehold_i=1,IF(Tidstabel[[#This Row],[EF_Uds?]]=0,1,0),IF(MAX(AF16:OFFSET(AG16,2-EF_Vedligehold_i,0),Tidstabel[[#This Row],[EF_Uds?]])=0,1,0)))</f>
        <v>1</v>
      </c>
      <c r="AG17" s="181">
        <f>IF(Tidstabel[[#This Row],[År]]&gt;Input_Tidshorisont,BlankTegn,0)</f>
        <v>0</v>
      </c>
      <c r="AH17" s="263">
        <f ca="1">IF(Tidstabel[[#This Row],[År]]&gt;Input_Tidshorisont,BlankTegn,
Tidstabel[[#This Row],[EF_Ved?]]*EF_Vedligehold_p*-EF_Enhedspris*((1+Tidstabel[[#This Row],[Kalkulationsrente]])^-Tidstabel[[#This Row],[År]])*((1+PrisudviklingGenerelt)^Tidstabel[[#This Row],[År]]))</f>
        <v>-7.5487684974370497</v>
      </c>
      <c r="AI17" s="262">
        <f ca="1">IF(Tidstabel[[#This Row],[År]]&gt;Input_Tidshorisont,BlankTegn,
IF(Tidstabel[[#This Row],[År]]=0,Tidstabel[[#This Row],[EF_Vedligehold]],AI16+Tidstabel[[#This Row],[EF_Vedligehold]]))</f>
        <v>-99.205854608512524</v>
      </c>
      <c r="AJ17" s="245">
        <f>IFERROR(IF(Tidstabel[[#This Row],[År]]&gt;Input_Tidshorisont,BlankTegn,
Tidstabel[[#This Row],[FB_Anskaffelse]]+Tidstabel[[#This Row],[VS_Anskaffelse]]+Tidstabel[[#This Row],[EI_Anskaffelse]]+Tidstabel[[#This Row],[AP_Anskaffelse]]+Tidstabel[[#This Row],[SK_Anskaffelse]]),BlankTegn)</f>
        <v>0</v>
      </c>
      <c r="AK17" s="245" t="str">
        <f>IFERROR(IF(Tidstabel[[#This Row],[År]]&gt;Input_Tidshorisont,BlankTegn,
IF(Tidstabel[[#This Row],[År]]=0,Tidstabel[[#This Row],[KF_Anskaffelse]],AK16+Tidstabel[[#This Row],[KF_Anskaffelse]])),BlankTegn)</f>
        <v>.</v>
      </c>
      <c r="AL17" s="246" t="str">
        <f ca="1">IFERROR(IF(Tidstabel[[#This Row],[År]]&gt;Input_Tidshorisont,BlankTegn,
Tidstabel[[#This Row],[FB_Vedligehold]]+Tidstabel[[#This Row],[VS_Vedligehold]]+Tidstabel[[#This Row],[EI_Vedligehold]]+Tidstabel[[#This Row],[AP_Vedligehold]]+Tidstabel[[#This Row],[SK_Vedligehold]]),BlankTegn)</f>
        <v>.</v>
      </c>
      <c r="AM17" s="245" t="str">
        <f ca="1">IFERROR(IF(Tidstabel[[#This Row],[År]]&gt;Input_Tidshorisont,BlankTegn,
IF(Tidstabel[[#This Row],[År]]=0,Tidstabel[[#This Row],[KF_Vedligehold]],AM16+Tidstabel[[#This Row],[KF_Vedligehold]])),BlankTegn)</f>
        <v>.</v>
      </c>
      <c r="AN17"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17"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17" s="245" t="str">
        <f>IFERROR(IF(Tidstabel[[#This Row],[År]]&gt;Input_Tidshorisont,BlankTegn,
IF(Tidstabel[[#This Row],[År]]=0,Tidstabel[[#This Row],[KF_Udskiftning_Komponent]],AP16+Tidstabel[[#This Row],[KF_Udskiftning_Komponent]])),BlankTegn)</f>
        <v>.</v>
      </c>
      <c r="AQ17" s="245">
        <f>IF(Tidstabel[[#This Row],[År]]&gt;Input_Tidshorisont,BlankTegn,
IF(Tidstabel[[#This Row],[År]]=0,-SUM(Engangsudgifter[Udgift]),0))</f>
        <v>0</v>
      </c>
      <c r="AR17" s="245">
        <f>IFERROR(IF(Tidstabel[[#This Row],[År]]&gt;Input_Tidshorisont,BlankTegn,
IF(Tidstabel[[#This Row],[År]]=0,Tidstabel[[#This Row],[KF_Engangsudgifter]],AR16+Tidstabel[[#This Row],[KF_Engangsudgifter]])),BlankTegn)</f>
        <v>0</v>
      </c>
      <c r="AS17" s="315" t="str">
        <f>IFERROR(IF(Tidstabel[[#This Row],[År]]&gt;Input_Tidshorisont,BlankTegn,
-Energibesparelse_Årlig),BlankTegn)</f>
        <v>.</v>
      </c>
      <c r="AT17" s="245" t="str">
        <f>IFERROR(IF(Tidstabel[[#This Row],[År]]&gt;Input_Tidshorisont,BlankTegn,
IF(Tidstabel[[#This Row],[År]]=0,0,-Tidstabel[[#This Row],[KF_Energiforbrug]]*Input_Fjernvarmepris*((1+Tidstabel[[#This Row],[Kalkulationsrente]])^-Tidstabel[[#This Row],[År]])*((1+PrisudviklingFjernvarme)^Tidstabel[[#This Row],[År]]))),BlankTegn)</f>
        <v>.</v>
      </c>
      <c r="AU17" s="262" t="str">
        <f>IFERROR(IF(Tidstabel[[#This Row],[År]]&gt;Input_Tidshorisont,BlankTegn,
IF(Tidstabel[[#This Row],[År]]=0,Tidstabel[[#This Row],[KF_Forsyning]],AU16+Tidstabel[[#This Row],[KF_Forsyning]])),BlankTegn)</f>
        <v>.</v>
      </c>
      <c r="AV17" s="245">
        <f>IFERROR(IF(Tidstabel[[#This Row],[År]]&gt;Input_Tidshorisont,BlankTegn,
IF(Tidstabel[[#This Row],[År]]=0,-FB_Enhedspris,0)),BlankTegn)</f>
        <v>0</v>
      </c>
      <c r="AW17" s="245" t="str">
        <f>IFERROR(IF(Tidstabel[[#This Row],[År]]&gt;Input_Tidshorisont,BlankTegn,
IF(Tidstabel[[#This Row],[År]]=0,FB_Enhedspris/FB_Levetid,AW16*((1+Tidstabel[[#This Row],[Kalkulationsrente]])^-1)*((1+PrisudviklingGenerelt)^1))),BlankTegn)</f>
        <v>.</v>
      </c>
      <c r="AX17" s="178" t="str">
        <f ca="1">IFERROR(IF(Tidstabel[[#This Row],[År]]&gt;Input_Tidshorisont,BlankTegn,
IF(FB_Vedligehold_i=1,IF(Tidstabel[[#This Row],[FB_Uds?]]=0,1,0),IF(MAX(AX16:OFFSET(AY16,2-FB_Vedligehold_i,0),Tidstabel[[#This Row],[FB_Uds?]])=0,1,0))),BlankTegn)</f>
        <v>.</v>
      </c>
      <c r="AY17" s="178" t="str">
        <f>IFERROR(IF(Tidstabel[[#This Row],[År]]&gt;Input_Tidshorisont,BlankTegn,
IF(Tidstabel[[#This Row],[År]]=0,1,IF(MOD(Tidstabel[[#This Row],[År]],FB_Levetid)=0,1,IF(Tidstabel[[#This Row],[År]]=Input_Tidshorisont,0,0)))),BlankTegn)</f>
        <v>.</v>
      </c>
      <c r="AZ17" s="245" t="str">
        <f ca="1">IFERROR(IF(Tidstabel[[#This Row],[År]]&gt;Input_Tidshorisont,BlankTegn,
FB_Vedligehold_p*-FB_Enhedspris*Tidstabel[[#This Row],[FB_Ved?]]*((1+Tidstabel[[#This Row],[Kalkulationsrente]])^-Tidstabel[[#This Row],[År]])*((1+PrisudviklingGenerelt)^Tidstabel[[#This Row],[År]])),BlankTegn)</f>
        <v>.</v>
      </c>
      <c r="BA17" s="245" t="str">
        <f>IFERROR(IF(Tidstabel[[#This Row],[År]]&gt;Input_Tidshorisont,BlankTegn,
IF(Tidstabel[[#This Row],[År]]=0,FB_Enhedspris,SUM(BA16:BB16)*((1+Tidstabel[[#This Row],[Kalkulationsrente]])^-1)*((1+PrisudviklingGenerelt)^1)-Tidstabel[[#This Row],[FB_Afskrivning]])),BlankTegn)</f>
        <v>.</v>
      </c>
      <c r="BB17" s="245" t="str">
        <f>IFERROR(IF(Tidstabel[[#This Row],[År]]&gt;Input_Tidshorisont,BlankTegn,
IF(Tidstabel[[#This Row],[År]]=0,0,Tidstabel[[#This Row],[FB_Uds?]]*FB_Enhedspris*((1+Tidstabel[[#This Row],[Kalkulationsrente]])^-Tidstabel[[#This Row],[År]])*((1+PrisudviklingGenerelt)^Tidstabel[[#This Row],[År]]))),BlankTegn)</f>
        <v>.</v>
      </c>
      <c r="BC17" s="262" t="str">
        <f>IFERROR(IF(Tidstabel[[#This Row],[År]]&gt;Input_Tidshorisont,BlankTegn,
IF(Tidstabel[[#This Row],[År]]=0,0,Tidstabel[[#This Row],[FB_Uds?]]*-FB_Enhedspris*FB_Genoprettelse*((1+Tidstabel[[#This Row],[Kalkulationsrente]])^-Tidstabel[[#This Row],[År]])*((1+PrisudviklingGenerelt)^Tidstabel[[#This Row],[År]]))),BlankTegn)</f>
        <v>.</v>
      </c>
      <c r="BD17" s="245">
        <f>IFERROR(IF(Tidstabel[[#This Row],[År]]&gt;Input_Tidshorisont,BlankTegn,
IF(Tidstabel[[#This Row],[År]]=0,-VS_Enhedspris,0)),BlankTegn)</f>
        <v>0</v>
      </c>
      <c r="BE17" s="245" t="str">
        <f>IFERROR(IF(Tidstabel[[#This Row],[År]]&gt;Input_Tidshorisont,BlankTegn,
IF(Tidstabel[[#This Row],[År]]=0,VS_Enhedspris/VS_Levetid,BE16*((1+Tidstabel[[#This Row],[Kalkulationsrente]])^-1)*((1+PrisudviklingGenerelt)^1))),BlankTegn)</f>
        <v>.</v>
      </c>
      <c r="BF17" s="178" t="str">
        <f ca="1">IFERROR(IF(Tidstabel[[#This Row],[År]]&gt;Input_Tidshorisont,BlankTegn,
IF(VS_Vedligehold_i=1,IF(Tidstabel[[#This Row],[VS_Uds?]]=0,1,0),IF(MAX(BF16:OFFSET(BG16,2-VS_Vedligehold_i,0),Tidstabel[[#This Row],[VS_Uds?]])=0,1,0))),BlankTegn)</f>
        <v>.</v>
      </c>
      <c r="BG17" s="178" t="str">
        <f>IFERROR(IF(Tidstabel[[#This Row],[År]]&gt;Input_Tidshorisont,BlankTegn,
IF(Tidstabel[[#This Row],[År]]=0,1,IF(MOD(Tidstabel[[#This Row],[År]],VS_Levetid)=0,1,IF(Tidstabel[[#This Row],[År]]=Input_Tidshorisont,0,0)))),BlankTegn)</f>
        <v>.</v>
      </c>
      <c r="BH17" s="245" t="str">
        <f ca="1">IFERROR(IF(Tidstabel[[#This Row],[År]]&gt;Input_Tidshorisont,BlankTegn,
VS_Vedligehold_p*-VS_Enhedspris*Tidstabel[[#This Row],[VS_Ved?]]*((1+Tidstabel[[#This Row],[Kalkulationsrente]])^-Tidstabel[[#This Row],[År]])*((1+PrisudviklingGenerelt)^Tidstabel[[#This Row],[År]])),BlankTegn)</f>
        <v>.</v>
      </c>
      <c r="BI17" s="245" t="str">
        <f>IFERROR(IF(Tidstabel[[#This Row],[År]]&gt;Input_Tidshorisont,BlankTegn,
IF(Tidstabel[[#This Row],[År]]=0,VS_Enhedspris,SUM(BI16:BJ16)*((1+Tidstabel[[#This Row],[Kalkulationsrente]])^-1)*((1+PrisudviklingGenerelt)^1)-Tidstabel[[#This Row],[VS_Afskrivning]])),BlankTegn)</f>
        <v>.</v>
      </c>
      <c r="BJ17" s="245" t="str">
        <f>IFERROR(IF(Tidstabel[[#This Row],[År]]&gt;Input_Tidshorisont,BlankTegn,
IF(Tidstabel[[#This Row],[År]]=0,0,Tidstabel[[#This Row],[VS_Uds?]]*VS_Enhedspris*((1+Tidstabel[[#This Row],[Kalkulationsrente]])^-Tidstabel[[#This Row],[År]])*((1+PrisudviklingGenerelt)^Tidstabel[[#This Row],[År]]))),BlankTegn)</f>
        <v>.</v>
      </c>
      <c r="BK17" s="262" t="str">
        <f>IFERROR(IF(Tidstabel[[#This Row],[År]]&gt;Input_Tidshorisont,BlankTegn,
IF(Tidstabel[[#This Row],[År]]=0,0,Tidstabel[[#This Row],[VS_Uds?]]*-VS_Enhedspris*VS_Genoprettelse*((1+Tidstabel[[#This Row],[Kalkulationsrente]])^-Tidstabel[[#This Row],[År]])*((1+PrisudviklingGenerelt)^Tidstabel[[#This Row],[År]]))),BlankTegn)</f>
        <v>.</v>
      </c>
      <c r="BL17" s="245">
        <f>IFERROR(IF(Tidstabel[[#This Row],[År]]&gt;Input_Tidshorisont,BlankTegn,
IF(Tidstabel[[#This Row],[År]]=0,-EI_Enhedspris,0)),BlankTegn)</f>
        <v>0</v>
      </c>
      <c r="BM17" s="245" t="str">
        <f>IFERROR(IF(Tidstabel[[#This Row],[År]]&gt;Input_Tidshorisont,BlankTegn,
IF(Tidstabel[[#This Row],[År]]=0,EI_Enhedspris/EI_Levetid,BM16*((1+Tidstabel[[#This Row],[Kalkulationsrente]])^-1)*((1+PrisudviklingGenerelt)^1))),BlankTegn)</f>
        <v>.</v>
      </c>
      <c r="BN17" s="178" t="str">
        <f ca="1">IFERROR(IF(Tidstabel[[#This Row],[År]]&gt;Input_Tidshorisont,BlankTegn,
IF(EI_Vedligehold_i=1,IF(Tidstabel[[#This Row],[EI_Uds?]]=0,1,0),IF(MAX(BN16:OFFSET(BO16,2-EI_Vedligehold_i,0),Tidstabel[[#This Row],[EI_Uds?]])=0,1,0))),BlankTegn)</f>
        <v>.</v>
      </c>
      <c r="BO17" s="178" t="str">
        <f>IFERROR(IF(Tidstabel[[#This Row],[År]]&gt;Input_Tidshorisont,BlankTegn,
IF(Tidstabel[[#This Row],[År]]=0,1,IF(MOD(Tidstabel[[#This Row],[År]],EI_Levetid)=0,1,IF(Tidstabel[[#This Row],[År]]=Input_Tidshorisont,0,0)))),BlankTegn)</f>
        <v>.</v>
      </c>
      <c r="BP17" s="245" t="str">
        <f ca="1">IFERROR(IF(Tidstabel[[#This Row],[År]]&gt;Input_Tidshorisont,BlankTegn,
EI_Vedligehold_p*-EI_Enhedspris*Tidstabel[[#This Row],[EI_Ved?]]*((1+Tidstabel[[#This Row],[Kalkulationsrente]])^-Tidstabel[[#This Row],[År]])*((1+PrisudviklingGenerelt)^Tidstabel[[#This Row],[År]])),BlankTegn)</f>
        <v>.</v>
      </c>
      <c r="BQ17" s="245" t="str">
        <f>IFERROR(IF(Tidstabel[[#This Row],[År]]&gt;Input_Tidshorisont,BlankTegn,
IF(Tidstabel[[#This Row],[År]]=0,EI_Enhedspris,SUM(BQ16:BR16)*((1+Tidstabel[[#This Row],[Kalkulationsrente]])^-1)*((1+PrisudviklingGenerelt)^1)-Tidstabel[[#This Row],[EI_Afskrivning]])),BlankTegn)</f>
        <v>.</v>
      </c>
      <c r="BR17" s="245" t="str">
        <f>IFERROR(IF(Tidstabel[[#This Row],[År]]&gt;Input_Tidshorisont,BlankTegn,
IF(Tidstabel[[#This Row],[År]]=0,0,Tidstabel[[#This Row],[EI_Uds?]]*EI_Enhedspris*((1+Tidstabel[[#This Row],[Kalkulationsrente]])^-Tidstabel[[#This Row],[År]])*((1+PrisudviklingGenerelt)^Tidstabel[[#This Row],[År]]))),BlankTegn)</f>
        <v>.</v>
      </c>
      <c r="BS17" s="262" t="str">
        <f>IFERROR(IF(Tidstabel[[#This Row],[År]]&gt;Input_Tidshorisont,BlankTegn,
IF(Tidstabel[[#This Row],[År]]=0,0,Tidstabel[[#This Row],[EI_Uds?]]*-EI_Enhedspris*EI_Genoprettelse*((1+Tidstabel[[#This Row],[Kalkulationsrente]])^-Tidstabel[[#This Row],[År]])*((1+PrisudviklingGenerelt)^Tidstabel[[#This Row],[År]]))),BlankTegn)</f>
        <v>.</v>
      </c>
      <c r="BT17" s="245">
        <f>IFERROR(IF(Tidstabel[[#This Row],[År]]&gt;Input_Tidshorisont,BlankTegn,
IF(Tidstabel[[#This Row],[År]]=0,-AP_Enhedspris,0)),BlankTegn)</f>
        <v>0</v>
      </c>
      <c r="BU17" s="245" t="str">
        <f>IFERROR(IF(Tidstabel[[#This Row],[År]]&gt;Input_Tidshorisont,BlankTegn,
IF(Tidstabel[[#This Row],[År]]=0,AP_Enhedspris/AP_Levetid,BU16*((1+Tidstabel[[#This Row],[Kalkulationsrente]])^-1)*((1+PrisudviklingGenerelt)^1))),BlankTegn)</f>
        <v>.</v>
      </c>
      <c r="BV17" s="178" t="str">
        <f ca="1">IFERROR(IF(Tidstabel[[#This Row],[År]]&gt;Input_Tidshorisont,BlankTegn,
IF(AP_Vedligehold_i=1,IF(Tidstabel[[#This Row],[AP_Uds?]]=0,1,0),IF(MAX(BV16:OFFSET(BW16,2-AP_Vedligehold_i,0),Tidstabel[[#This Row],[AP_Uds?]])=0,1,0))),BlankTegn)</f>
        <v>.</v>
      </c>
      <c r="BW17" s="178" t="str">
        <f>IFERROR(IF(Tidstabel[[#This Row],[År]]&gt;Input_Tidshorisont,BlankTegn,
IF(Tidstabel[[#This Row],[År]]=0,1,IF(MOD(Tidstabel[[#This Row],[År]],AP_Levetid)=0,1,IF(Tidstabel[[#This Row],[År]]=Input_Tidshorisont,0,0)))),BlankTegn)</f>
        <v>.</v>
      </c>
      <c r="BX17" s="245" t="str">
        <f ca="1">IFERROR(IF(Tidstabel[[#This Row],[År]]&gt;Input_Tidshorisont,BlankTegn,
AP_Vedligehold_p*-AP_Enhedspris*Tidstabel[[#This Row],[AP_Ved?]]*((1+Tidstabel[[#This Row],[Kalkulationsrente]])^-Tidstabel[[#This Row],[År]])*((1+PrisudviklingGenerelt)^Tidstabel[[#This Row],[År]])),BlankTegn)</f>
        <v>.</v>
      </c>
      <c r="BY17" s="245" t="str">
        <f>IFERROR(IF(Tidstabel[[#This Row],[År]]&gt;Input_Tidshorisont,BlankTegn,
IF(Tidstabel[[#This Row],[År]]=0,AP_Enhedspris,SUM(BY16:BZ16)*((1+Tidstabel[[#This Row],[Kalkulationsrente]])^-1)*((1+PrisudviklingGenerelt)^1)-Tidstabel[[#This Row],[AP_Afskrivning]])),BlankTegn)</f>
        <v>.</v>
      </c>
      <c r="BZ17" s="245" t="str">
        <f>IFERROR(IF(Tidstabel[[#This Row],[År]]&gt;Input_Tidshorisont,BlankTegn,
IF(Tidstabel[[#This Row],[År]]=0,0,Tidstabel[[#This Row],[AP_Uds?]]*AP_Enhedspris*((1+Tidstabel[[#This Row],[Kalkulationsrente]])^-Tidstabel[[#This Row],[År]])*((1+PrisudviklingGenerelt)^Tidstabel[[#This Row],[År]]))),BlankTegn)</f>
        <v>.</v>
      </c>
      <c r="CA17" s="262" t="str">
        <f>IFERROR(IF(Tidstabel[[#This Row],[År]]&gt;Input_Tidshorisont,BlankTegn,
IF(Tidstabel[[#This Row],[År]]=0,0,Tidstabel[[#This Row],[AP_Uds?]]*-AP_Enhedspris*AP_Genoprettelse*((1+Tidstabel[[#This Row],[Kalkulationsrente]])^-Tidstabel[[#This Row],[År]])*((1+PrisudviklingGenerelt)^Tidstabel[[#This Row],[År]]))),BlankTegn)</f>
        <v>.</v>
      </c>
      <c r="CB17" s="245">
        <f>IFERROR(IF(Tidstabel[[#This Row],[År]]&gt;Input_Tidshorisont,BlankTegn,
IF(Tidstabel[[#This Row],[År]]=0,-SK_Enhedspris,0)),BlankTegn)</f>
        <v>0</v>
      </c>
      <c r="CC17" s="245" t="str">
        <f>IFERROR(IF(Tidstabel[[#This Row],[År]]&gt;Input_Tidshorisont,BlankTegn,
IF(Tidstabel[[#This Row],[År]]=0,SK_Enhedspris/SK_Levetid,CC16*((1+Tidstabel[[#This Row],[Kalkulationsrente]])^-1)*((1+PrisudviklingGenerelt)^1))),BlankTegn)</f>
        <v>.</v>
      </c>
      <c r="CD17" s="178" t="str">
        <f ca="1">IFERROR(IF(Tidstabel[[#This Row],[År]]&gt;Input_Tidshorisont,BlankTegn,
IF(SK_Vedligehold_i=1,IF(Tidstabel[[#This Row],[SK_Uds?]]=0,1,0),IF(MAX(CD16:OFFSET(CE16,2-SK_Vedligehold_i,0),Tidstabel[[#This Row],[SK_Uds?]])=0,1,0))),BlankTegn)</f>
        <v>.</v>
      </c>
      <c r="CE17" s="178" t="str">
        <f>IFERROR(IF(Tidstabel[[#This Row],[År]]&gt;Input_Tidshorisont,BlankTegn,
IF(Tidstabel[[#This Row],[År]]=0,1,IF(MOD(Tidstabel[[#This Row],[År]],SK_Levetid)=0,1,IF(Tidstabel[[#This Row],[År]]=Input_Tidshorisont,0,0)))),BlankTegn)</f>
        <v>.</v>
      </c>
      <c r="CF17" s="245" t="str">
        <f ca="1">IFERROR(IF(Tidstabel[[#This Row],[År]]&gt;Input_Tidshorisont,BlankTegn,
SK_Vedligehold_p*-SK_Enhedspris*Tidstabel[[#This Row],[SK_Ved?]]*((1+Tidstabel[[#This Row],[Kalkulationsrente]])^-Tidstabel[[#This Row],[År]])*((1+PrisudviklingGenerelt)^Tidstabel[[#This Row],[År]])),BlankTegn)</f>
        <v>.</v>
      </c>
      <c r="CG17" s="245" t="str">
        <f>IFERROR(IF(Tidstabel[[#This Row],[År]]&gt;Input_Tidshorisont,BlankTegn,
IF(Tidstabel[[#This Row],[År]]=0,SK_Enhedspris,SUM(CG16:CH16)*((1+Tidstabel[[#This Row],[Kalkulationsrente]])^-1)*((1+PrisudviklingGenerelt)^1)-Tidstabel[[#This Row],[SK_Afskrivning]])),BlankTegn)</f>
        <v>.</v>
      </c>
      <c r="CH17" s="245" t="str">
        <f>IFERROR(IF(Tidstabel[[#This Row],[År]]&gt;Input_Tidshorisont,BlankTegn,
IF(Tidstabel[[#This Row],[År]]=0,0,Tidstabel[[#This Row],[SK_Uds?]]*SK_Enhedspris*((1+Tidstabel[[#This Row],[Kalkulationsrente]])^-Tidstabel[[#This Row],[År]])*((1+PrisudviklingGenerelt)^Tidstabel[[#This Row],[År]]))),BlankTegn)</f>
        <v>.</v>
      </c>
      <c r="CI17" s="262" t="str">
        <f>IFERROR(IF(Tidstabel[[#This Row],[År]]&gt;Input_Tidshorisont,BlankTegn,
IF(Tidstabel[[#This Row],[År]]=0,0,Tidstabel[[#This Row],[SK_Uds?]]*-SK_Enhedspris*SK_Genoprettelse*((1+Tidstabel[[#This Row],[Kalkulationsrente]])^-Tidstabel[[#This Row],[År]])*((1+PrisudviklingGenerelt)^Tidstabel[[#This Row],[År]]))),BlankTegn)</f>
        <v>.</v>
      </c>
      <c r="CJ17" s="19"/>
    </row>
    <row r="18" spans="1:88">
      <c r="A18" s="250">
        <v>11</v>
      </c>
      <c r="B18" s="250">
        <f>Input_Etableringsår+Tidstabel[[#This Row],[År]]</f>
        <v>2035</v>
      </c>
      <c r="C18" s="274" cm="1">
        <f t="array" ref="C18">_xlfn.IFS(Tidstabel[[#This Row],[År]]&gt;KR_Trin3_Tærskel,KR_Trin3_Rente,Tidstabel[[#This Row],[År]]&gt;KR_Trin2_Tærskel,KR_Trin2_Rente,Tidstabel[[#This Row],[År]]&gt;KR_Trin1_Tærskel,KR_Trin1_Rente,Tidstabel[[#This Row],[År]]&gt;KR_Trin0_Tærskel,KR_Trin0_Rente)</f>
        <v>3.5000000000000003E-2</v>
      </c>
      <c r="D18" s="142" t="str" cm="1">
        <f t="array" ref="D18">IFERROR(
INDEX(Range_Materiale_ÅrligeEmissioner,MATCH(1,(Materialedata[Komponent]=FB_Titel)*(Materialedata[Materiale]=FB_Materiale),0),MATCH(Tidstabel[[#This Row],[År]],Range_Materiale_År,0)),BlankTegn)</f>
        <v>.</v>
      </c>
      <c r="E18" s="142" t="str" cm="1">
        <f t="array" ref="E18">IFERROR(
INDEX(Range_Materiale_ÅrligeEmissioner,MATCH(1,(Materialedata[Komponent]=SK_Titel)*(Materialedata[Materiale]=SK_Materiale),0),MATCH(Tidstabel[[#This Row],[År]],Range_Materiale_År,0)),BlankTegn)</f>
        <v>.</v>
      </c>
      <c r="F18" s="142" t="str" cm="1">
        <f t="array" ref="F18">IFERROR(
INDEX(Range_Materiale_ÅrligeEmissioner,MATCH(1,(Materialedata[Komponent]=EI_Titel)*(Materialedata[Materiale]=EI_Materiale),0),MATCH(Tidstabel[[#This Row],[År]],Range_Materiale_År,0)),BlankTegn)</f>
        <v>.</v>
      </c>
      <c r="G18" s="142" t="str" cm="1">
        <f t="array" ref="G18">IFERROR(
INDEX(Range_Materiale_ÅrligeEmissioner,MATCH(1,(Materialedata[Komponent]=AP_Titel)*(Materialedata[Materiale]=AP_Materiale),0),MATCH(Tidstabel[[#This Row],[År]],Range_Materiale_År,0)),BlankTegn)</f>
        <v>.</v>
      </c>
      <c r="H18" s="142" t="str" cm="1">
        <f t="array" ref="H18">IFERROR(
INDEX(Range_Materiale_ÅrligeEmissioner,MATCH(1,(Materialedata[Komponent]=VS_Titel)*(Materialedata[Materiale]=VS_Materiale),0),MATCH(Tidstabel[[#This Row],[År]],Range_Materiale_År,0)),BlankTegn)</f>
        <v>.</v>
      </c>
      <c r="I18" s="142" t="str">
        <f>IFERROR(
IF(SUM(Tidstabel[[#This Row],[Facadebeklædning]:[Vindspærre]])=0,BlankTegn,
SUM(Tidstabel[[#This Row],[Facadebeklædning]:[Vindspærre]])),BlankTegn)</f>
        <v>.</v>
      </c>
      <c r="J18" s="139">
        <f>IF(Tidstabel[[#This Row],[År]]&gt;Input_Tidshorisont,BlankTegn,
A5_ElVarmeBrændstofByggeplads)</f>
        <v>0.25</v>
      </c>
      <c r="K18" s="142" t="str">
        <f>IFERROR(IF(Tidstabel[[#This Row],[År]]&gt;Input_Tidshorisont,BlankTegn,
-1*INDEX(Range_Energi_ÅrligBesparelse,MATCH(Input_EksisterendeFacade,Energiberegning[Ydervæg],0),MATCH(Tidstabel[[#This Row],[Årstal]],Range_Energi_Årstal,0))),BlankTegn)</f>
        <v>.</v>
      </c>
      <c r="L18" s="142">
        <f>IF(Tidstabel[[#This Row],[År]]&gt;Input_Tidshorisont,BlankTegn,
(Tidstabel[[#This Row],[År]]+1)*(SUM(Vedligeholdelsesmaterialer[Facadefarve],Vedligeholdelsesmaterialer[Grunder og mellemmaling])/12+SUM(Vedligeholdelsesmaterialer[Puds])/30))</f>
        <v>3.8982514299999997</v>
      </c>
      <c r="M18" s="142" t="str">
        <f>IFERROR(IF(Tidstabel[[#This Row],[År]]&gt;Input_Tidshorisont,BlankTegn,
Tidstabel[[#This Row],[Materialer_Total]]+Tidstabel[[#This Row],[Byggeprocess]]),BlankTegn)</f>
        <v>.</v>
      </c>
      <c r="N18" s="142" t="str">
        <f>IFERROR(IF(Tidstabel[[#This Row],[År]]&gt;Input_Tidshorisont,BlankTegn,
Tidstabel[[#This Row],[Energibesparelse]]+Tidstabel[[#This Row],[Emission_Brutto]]),BlankTegn)</f>
        <v>.</v>
      </c>
      <c r="O18" s="142" t="str">
        <f>IFERROR(IF(Tidstabel[[#This Row],[År]]&gt;Input_Tidshorisont,BlankTegn,
Tidstabel[[#This Row],[Emission_Netto]]-Tidstabel[[#This Row],[Vedligehold_EksisterendeFacade]]),BlankTegn)</f>
        <v>.</v>
      </c>
      <c r="P18" s="271" t="str">
        <f>IFERROR(IF(Tidstabel[[#This Row],[År]]&gt;Input_Tidshorisont,BlankTegn,
IF(AND(Tidstabel[[#This Row],[Emission_Netto]]-Tidstabel[[#This Row],[Vedligehold_EksisterendeFacade]]&gt;0,N19-L19&lt;0),-1,IF(AND(Tidstabel[[#This Row],[Emission_Netto]]-Tidstabel[[#This Row],[Vedligehold_EksisterendeFacade]]&lt;0,N19-L19&gt;0),1,0))),BlankTegn)</f>
        <v>.</v>
      </c>
      <c r="Q18" s="174" t="str">
        <f>IF(Tidstabel[[#This Row],[År]]&gt;Input_Tidshorisont,BlankTegn,
IF(Tidstabel[[#This Row],[LCA-Skæring]]=-1,SUM(Tidstabel[[#This Row],[År]]*(1-ABS(Tidstabel[[#This Row],[LCA-Difference]])/(ABS(Tidstabel[[#This Row],[LCA-Difference]])+ABS(O19))),A19*(1-ABS(O19)/(ABS(Tidstabel[[#This Row],[LCA-Difference]])+ABS(O19)))),"-"))</f>
        <v>-</v>
      </c>
      <c r="R18" s="174" t="str">
        <f>IF(Tidstabel[[#This Row],[År]]&gt;Input_Tidshorisont,BlankTegn,
IF(Tidstabel[[#This Row],[LCA-Skæring]]=-1,SUM(Tidstabel[[#This Row],[Emission_Netto]]*(1-ABS(Tidstabel[[#This Row],[LCA-Difference]])/(ABS(Tidstabel[[#This Row],[LCA-Difference]])+ABS(O19))),N19*(1-ABS(O19)/(ABS(Tidstabel[[#This Row],[LCA-Difference]])+ABS(O19)))),"-"))</f>
        <v>-</v>
      </c>
      <c r="S18" s="174" t="str">
        <f>IF(Tidstabel[[#This Row],[År]]&gt;Input_Tidshorisont,BlankTegn,
IF(Tidstabel[[#This Row],[LCA-Skæring]]=1,SUM(Tidstabel[[#This Row],[År]]*(1-ABS(Tidstabel[[#This Row],[LCA-Difference]])/(ABS(Tidstabel[[#This Row],[LCA-Difference]])+ABS(O19))),A19*(1-ABS(O19)/(ABS(Tidstabel[[#This Row],[LCA-Difference]])+ABS(O19)))),"-"))</f>
        <v>-</v>
      </c>
      <c r="T18" s="264" t="str">
        <f>IF(Tidstabel[[#This Row],[År]]&gt;Input_Tidshorisont,BlankTegn,
IF(Tidstabel[[#This Row],[LCA-Skæring]]=1,SUM(Tidstabel[[#This Row],[Emission_Netto]]*(1-ABS(Tidstabel[[#This Row],[LCA-Difference]])/(ABS(Tidstabel[[#This Row],[LCA-Difference]])+ABS(O19))),N19*(1-ABS(O19)/(ABS(Tidstabel[[#This Row],[LCA-Difference]])+ABS(O19)))),"-"))</f>
        <v>-</v>
      </c>
      <c r="U18" s="142" t="str">
        <f ca="1">IFERROR(IF(Tidstabel[[#This Row],[År]]&gt;Input_Tidshorisont,BlankTegn,
Tidstabel[[#This Row],[NPV_Klimafacade]]-Tidstabel[[#This Row],[NPV_Eksisterende]]),BlankTegn)</f>
        <v>.</v>
      </c>
      <c r="V18" s="271" t="str">
        <f ca="1">IFERROR(IF(Tidstabel[[#This Row],[År]]&gt;Input_Tidshorisont,BlankTegn,
IF(AND(Tidstabel[[#This Row],[NPV_Klimafacade]]-Tidstabel[[#This Row],[NPV_Eksisterende]]&gt;0,AB19-AA19&lt;0),1,IF(AND(Tidstabel[[#This Row],[NPV_Klimafacade]]-Tidstabel[[#This Row],[NPV_Eksisterende]]&lt;0,AB19-AA19&gt;0),-1,0))),BlankTegn)</f>
        <v>.</v>
      </c>
      <c r="W18" s="174" t="str">
        <f ca="1">IF(Tidstabel[[#This Row],[År]]&gt;Input_Tidshorisont,BlankTegn,
IF(Tidstabel[[#This Row],[LCC-Skæring]]=-1,SUM(Tidstabel[[#This Row],[År]]*(1-ABS(Tidstabel[[#This Row],[LCC-Difference]])/(ABS(Tidstabel[[#This Row],[LCC-Difference]])+ABS(U19))),A19*(1-ABS(U19)/(ABS(Tidstabel[[#This Row],[LCC-Difference]])+ABS(U19)))),"-"))</f>
        <v>-</v>
      </c>
      <c r="X18" s="174" t="str">
        <f ca="1">IF(Tidstabel[[#This Row],[År]]&gt;Input_Tidshorisont,BlankTegn,
IF(Tidstabel[[#This Row],[LCC-Skæring]]=-1,SUM(Tidstabel[[#This Row],[NPV_Klimafacade]]*(1-ABS(Tidstabel[[#This Row],[LCC-Difference]])/(ABS(Tidstabel[[#This Row],[LCC-Difference]])+ABS(U19))),AB19*(1-ABS(U19)/(ABS(Tidstabel[[#This Row],[LCC-Difference]])+ABS(U19)))),"-"))</f>
        <v>-</v>
      </c>
      <c r="Y18" s="174" t="str">
        <f ca="1">IF(Tidstabel[[#This Row],[År]]&gt;Input_Tidshorisont,BlankTegn,
IF(Tidstabel[[#This Row],[LCC-Skæring]]=1,SUM(Tidstabel[[#This Row],[År]]*(1-ABS(Tidstabel[[#This Row],[LCC-Difference]])/(ABS(Tidstabel[[#This Row],[LCC-Difference]])+ABS(U19))),A19*(1-ABS(U19)/(ABS(Tidstabel[[#This Row],[LCC-Difference]])+ABS(U19)))),"-"))</f>
        <v>-</v>
      </c>
      <c r="Z18" s="264" t="str">
        <f ca="1">IF(Tidstabel[[#This Row],[År]]&gt;Input_Tidshorisont,BlankTegn,
IF(Tidstabel[[#This Row],[LCC-Skæring]]=1,SUM(Tidstabel[[#This Row],[NPV_Klimafacade]]*(1-ABS(Tidstabel[[#This Row],[LCC-Difference]])/(ABS(Tidstabel[[#This Row],[LCC-Difference]])+ABS(U19))),AB19*(1-ABS(U19)/(ABS(Tidstabel[[#This Row],[LCC-Difference]])+ABS(U19)))),"-"))</f>
        <v>-</v>
      </c>
      <c r="AA18" s="142">
        <f ca="1">IF(Tidstabel[[#This Row],[År]]&gt;Input_Tidshorisont,BlankTegn,
Tidstabel[[#This Row],[EF_Vedligehold_Aggregeret]])</f>
        <v>-106.49935074130194</v>
      </c>
      <c r="AB18"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18" s="142" t="str">
        <f>IFERROR(IF(Tidstabel[[#This Row],[År]]&gt;Input_Tidshorisont,BlankTegn,
Tidstabel[[#This Row],[KF_Anskaffelse_Aggregeret]]+Tidstabel[[#This Row],[KF_Engangsudgifter_Aggregeret]]),BlankTegn)</f>
        <v>.</v>
      </c>
      <c r="AD18" s="174">
        <f ca="1">IFERROR(IF(Tidstabel[[#This Row],[År]]&gt;Input_Tidshorisont,BlankTegn,
IF(Tidstabel[[#This Row],[År]]=0,0,Tidstabel[[#This Row],[NPV_Eksisterende]]*(Tidstabel[[#This Row],[Kalkulationsrente]]/(1-(1+Tidstabel[[#This Row],[Kalkulationsrente]])^-Tidstabel[[#This Row],[År]])))),BlankTegn)</f>
        <v>-11.831222231784674</v>
      </c>
      <c r="AE18" s="264" t="str">
        <f ca="1">IFERROR(IF(Tidstabel[[#This Row],[År]]&gt;Input_Tidshorisont,BlankTegn,
IF(Tidstabel[[#This Row],[År]]=0,0,Tidstabel[[#This Row],[NPV_Klimafacade]]*(Tidstabel[[#This Row],[Kalkulationsrente]]/(1-(1+Tidstabel[[#This Row],[Kalkulationsrente]])^-Tidstabel[[#This Row],[År]])))),BlankTegn)</f>
        <v>.</v>
      </c>
      <c r="AF18" s="270">
        <f ca="1">IF(Tidstabel[[#This Row],[År]]&gt;Input_Tidshorisont,BlankTegn,
IF(EF_Vedligehold_i=1,IF(Tidstabel[[#This Row],[EF_Uds?]]=0,1,0),IF(MAX(AF17:OFFSET(AG17,2-EF_Vedligehold_i,0),Tidstabel[[#This Row],[EF_Uds?]])=0,1,0)))</f>
        <v>1</v>
      </c>
      <c r="AG18" s="181">
        <f>IF(Tidstabel[[#This Row],[År]]&gt;Input_Tidshorisont,BlankTegn,0)</f>
        <v>0</v>
      </c>
      <c r="AH18" s="263">
        <f ca="1">IF(Tidstabel[[#This Row],[År]]&gt;Input_Tidshorisont,BlankTegn,
Tidstabel[[#This Row],[EF_Ved?]]*EF_Vedligehold_p*-EF_Enhedspris*((1+Tidstabel[[#This Row],[Kalkulationsrente]])^-Tidstabel[[#This Row],[År]])*((1+PrisudviklingGenerelt)^Tidstabel[[#This Row],[År]]))</f>
        <v>-7.2934961327894205</v>
      </c>
      <c r="AI18" s="262">
        <f ca="1">IF(Tidstabel[[#This Row],[År]]&gt;Input_Tidshorisont,BlankTegn,
IF(Tidstabel[[#This Row],[År]]=0,Tidstabel[[#This Row],[EF_Vedligehold]],AI17+Tidstabel[[#This Row],[EF_Vedligehold]]))</f>
        <v>-106.49935074130194</v>
      </c>
      <c r="AJ18" s="245">
        <f>IFERROR(IF(Tidstabel[[#This Row],[År]]&gt;Input_Tidshorisont,BlankTegn,
Tidstabel[[#This Row],[FB_Anskaffelse]]+Tidstabel[[#This Row],[VS_Anskaffelse]]+Tidstabel[[#This Row],[EI_Anskaffelse]]+Tidstabel[[#This Row],[AP_Anskaffelse]]+Tidstabel[[#This Row],[SK_Anskaffelse]]),BlankTegn)</f>
        <v>0</v>
      </c>
      <c r="AK18" s="245" t="str">
        <f>IFERROR(IF(Tidstabel[[#This Row],[År]]&gt;Input_Tidshorisont,BlankTegn,
IF(Tidstabel[[#This Row],[År]]=0,Tidstabel[[#This Row],[KF_Anskaffelse]],AK17+Tidstabel[[#This Row],[KF_Anskaffelse]])),BlankTegn)</f>
        <v>.</v>
      </c>
      <c r="AL18" s="246" t="str">
        <f ca="1">IFERROR(IF(Tidstabel[[#This Row],[År]]&gt;Input_Tidshorisont,BlankTegn,
Tidstabel[[#This Row],[FB_Vedligehold]]+Tidstabel[[#This Row],[VS_Vedligehold]]+Tidstabel[[#This Row],[EI_Vedligehold]]+Tidstabel[[#This Row],[AP_Vedligehold]]+Tidstabel[[#This Row],[SK_Vedligehold]]),BlankTegn)</f>
        <v>.</v>
      </c>
      <c r="AM18" s="245" t="str">
        <f ca="1">IFERROR(IF(Tidstabel[[#This Row],[År]]&gt;Input_Tidshorisont,BlankTegn,
IF(Tidstabel[[#This Row],[År]]=0,Tidstabel[[#This Row],[KF_Vedligehold]],AM17+Tidstabel[[#This Row],[KF_Vedligehold]])),BlankTegn)</f>
        <v>.</v>
      </c>
      <c r="AN18"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18"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18" s="245" t="str">
        <f>IFERROR(IF(Tidstabel[[#This Row],[År]]&gt;Input_Tidshorisont,BlankTegn,
IF(Tidstabel[[#This Row],[År]]=0,Tidstabel[[#This Row],[KF_Udskiftning_Komponent]],AP17+Tidstabel[[#This Row],[KF_Udskiftning_Komponent]])),BlankTegn)</f>
        <v>.</v>
      </c>
      <c r="AQ18" s="245">
        <f>IF(Tidstabel[[#This Row],[År]]&gt;Input_Tidshorisont,BlankTegn,
IF(Tidstabel[[#This Row],[År]]=0,-SUM(Engangsudgifter[Udgift]),0))</f>
        <v>0</v>
      </c>
      <c r="AR18" s="245">
        <f>IFERROR(IF(Tidstabel[[#This Row],[År]]&gt;Input_Tidshorisont,BlankTegn,
IF(Tidstabel[[#This Row],[År]]=0,Tidstabel[[#This Row],[KF_Engangsudgifter]],AR17+Tidstabel[[#This Row],[KF_Engangsudgifter]])),BlankTegn)</f>
        <v>0</v>
      </c>
      <c r="AS18" s="315" t="str">
        <f>IFERROR(IF(Tidstabel[[#This Row],[År]]&gt;Input_Tidshorisont,BlankTegn,
-Energibesparelse_Årlig),BlankTegn)</f>
        <v>.</v>
      </c>
      <c r="AT18" s="245" t="str">
        <f>IFERROR(IF(Tidstabel[[#This Row],[År]]&gt;Input_Tidshorisont,BlankTegn,
IF(Tidstabel[[#This Row],[År]]=0,0,-Tidstabel[[#This Row],[KF_Energiforbrug]]*Input_Fjernvarmepris*((1+Tidstabel[[#This Row],[Kalkulationsrente]])^-Tidstabel[[#This Row],[År]])*((1+PrisudviklingFjernvarme)^Tidstabel[[#This Row],[År]]))),BlankTegn)</f>
        <v>.</v>
      </c>
      <c r="AU18" s="262" t="str">
        <f>IFERROR(IF(Tidstabel[[#This Row],[År]]&gt;Input_Tidshorisont,BlankTegn,
IF(Tidstabel[[#This Row],[År]]=0,Tidstabel[[#This Row],[KF_Forsyning]],AU17+Tidstabel[[#This Row],[KF_Forsyning]])),BlankTegn)</f>
        <v>.</v>
      </c>
      <c r="AV18" s="245">
        <f>IFERROR(IF(Tidstabel[[#This Row],[År]]&gt;Input_Tidshorisont,BlankTegn,
IF(Tidstabel[[#This Row],[År]]=0,-FB_Enhedspris,0)),BlankTegn)</f>
        <v>0</v>
      </c>
      <c r="AW18" s="245" t="str">
        <f>IFERROR(IF(Tidstabel[[#This Row],[År]]&gt;Input_Tidshorisont,BlankTegn,
IF(Tidstabel[[#This Row],[År]]=0,FB_Enhedspris/FB_Levetid,AW17*((1+Tidstabel[[#This Row],[Kalkulationsrente]])^-1)*((1+PrisudviklingGenerelt)^1))),BlankTegn)</f>
        <v>.</v>
      </c>
      <c r="AX18" s="178" t="str">
        <f ca="1">IFERROR(IF(Tidstabel[[#This Row],[År]]&gt;Input_Tidshorisont,BlankTegn,
IF(FB_Vedligehold_i=1,IF(Tidstabel[[#This Row],[FB_Uds?]]=0,1,0),IF(MAX(AX17:OFFSET(AY17,2-FB_Vedligehold_i,0),Tidstabel[[#This Row],[FB_Uds?]])=0,1,0))),BlankTegn)</f>
        <v>.</v>
      </c>
      <c r="AY18" s="178" t="str">
        <f>IFERROR(IF(Tidstabel[[#This Row],[År]]&gt;Input_Tidshorisont,BlankTegn,
IF(Tidstabel[[#This Row],[År]]=0,1,IF(MOD(Tidstabel[[#This Row],[År]],FB_Levetid)=0,1,IF(Tidstabel[[#This Row],[År]]=Input_Tidshorisont,0,0)))),BlankTegn)</f>
        <v>.</v>
      </c>
      <c r="AZ18" s="245" t="str">
        <f ca="1">IFERROR(IF(Tidstabel[[#This Row],[År]]&gt;Input_Tidshorisont,BlankTegn,
FB_Vedligehold_p*-FB_Enhedspris*Tidstabel[[#This Row],[FB_Ved?]]*((1+Tidstabel[[#This Row],[Kalkulationsrente]])^-Tidstabel[[#This Row],[År]])*((1+PrisudviklingGenerelt)^Tidstabel[[#This Row],[År]])),BlankTegn)</f>
        <v>.</v>
      </c>
      <c r="BA18" s="245" t="str">
        <f>IFERROR(IF(Tidstabel[[#This Row],[År]]&gt;Input_Tidshorisont,BlankTegn,
IF(Tidstabel[[#This Row],[År]]=0,FB_Enhedspris,SUM(BA17:BB17)*((1+Tidstabel[[#This Row],[Kalkulationsrente]])^-1)*((1+PrisudviklingGenerelt)^1)-Tidstabel[[#This Row],[FB_Afskrivning]])),BlankTegn)</f>
        <v>.</v>
      </c>
      <c r="BB18" s="245" t="str">
        <f>IFERROR(IF(Tidstabel[[#This Row],[År]]&gt;Input_Tidshorisont,BlankTegn,
IF(Tidstabel[[#This Row],[År]]=0,0,Tidstabel[[#This Row],[FB_Uds?]]*FB_Enhedspris*((1+Tidstabel[[#This Row],[Kalkulationsrente]])^-Tidstabel[[#This Row],[År]])*((1+PrisudviklingGenerelt)^Tidstabel[[#This Row],[År]]))),BlankTegn)</f>
        <v>.</v>
      </c>
      <c r="BC18" s="262" t="str">
        <f>IFERROR(IF(Tidstabel[[#This Row],[År]]&gt;Input_Tidshorisont,BlankTegn,
IF(Tidstabel[[#This Row],[År]]=0,0,Tidstabel[[#This Row],[FB_Uds?]]*-FB_Enhedspris*FB_Genoprettelse*((1+Tidstabel[[#This Row],[Kalkulationsrente]])^-Tidstabel[[#This Row],[År]])*((1+PrisudviklingGenerelt)^Tidstabel[[#This Row],[År]]))),BlankTegn)</f>
        <v>.</v>
      </c>
      <c r="BD18" s="245">
        <f>IFERROR(IF(Tidstabel[[#This Row],[År]]&gt;Input_Tidshorisont,BlankTegn,
IF(Tidstabel[[#This Row],[År]]=0,-VS_Enhedspris,0)),BlankTegn)</f>
        <v>0</v>
      </c>
      <c r="BE18" s="245" t="str">
        <f>IFERROR(IF(Tidstabel[[#This Row],[År]]&gt;Input_Tidshorisont,BlankTegn,
IF(Tidstabel[[#This Row],[År]]=0,VS_Enhedspris/VS_Levetid,BE17*((1+Tidstabel[[#This Row],[Kalkulationsrente]])^-1)*((1+PrisudviklingGenerelt)^1))),BlankTegn)</f>
        <v>.</v>
      </c>
      <c r="BF18" s="178" t="str">
        <f ca="1">IFERROR(IF(Tidstabel[[#This Row],[År]]&gt;Input_Tidshorisont,BlankTegn,
IF(VS_Vedligehold_i=1,IF(Tidstabel[[#This Row],[VS_Uds?]]=0,1,0),IF(MAX(BF17:OFFSET(BG17,2-VS_Vedligehold_i,0),Tidstabel[[#This Row],[VS_Uds?]])=0,1,0))),BlankTegn)</f>
        <v>.</v>
      </c>
      <c r="BG18" s="178" t="str">
        <f>IFERROR(IF(Tidstabel[[#This Row],[År]]&gt;Input_Tidshorisont,BlankTegn,
IF(Tidstabel[[#This Row],[År]]=0,1,IF(MOD(Tidstabel[[#This Row],[År]],VS_Levetid)=0,1,IF(Tidstabel[[#This Row],[År]]=Input_Tidshorisont,0,0)))),BlankTegn)</f>
        <v>.</v>
      </c>
      <c r="BH18" s="245" t="str">
        <f ca="1">IFERROR(IF(Tidstabel[[#This Row],[År]]&gt;Input_Tidshorisont,BlankTegn,
VS_Vedligehold_p*-VS_Enhedspris*Tidstabel[[#This Row],[VS_Ved?]]*((1+Tidstabel[[#This Row],[Kalkulationsrente]])^-Tidstabel[[#This Row],[År]])*((1+PrisudviklingGenerelt)^Tidstabel[[#This Row],[År]])),BlankTegn)</f>
        <v>.</v>
      </c>
      <c r="BI18" s="245" t="str">
        <f>IFERROR(IF(Tidstabel[[#This Row],[År]]&gt;Input_Tidshorisont,BlankTegn,
IF(Tidstabel[[#This Row],[År]]=0,VS_Enhedspris,SUM(BI17:BJ17)*((1+Tidstabel[[#This Row],[Kalkulationsrente]])^-1)*((1+PrisudviklingGenerelt)^1)-Tidstabel[[#This Row],[VS_Afskrivning]])),BlankTegn)</f>
        <v>.</v>
      </c>
      <c r="BJ18" s="245" t="str">
        <f>IFERROR(IF(Tidstabel[[#This Row],[År]]&gt;Input_Tidshorisont,BlankTegn,
IF(Tidstabel[[#This Row],[År]]=0,0,Tidstabel[[#This Row],[VS_Uds?]]*VS_Enhedspris*((1+Tidstabel[[#This Row],[Kalkulationsrente]])^-Tidstabel[[#This Row],[År]])*((1+PrisudviklingGenerelt)^Tidstabel[[#This Row],[År]]))),BlankTegn)</f>
        <v>.</v>
      </c>
      <c r="BK18" s="262" t="str">
        <f>IFERROR(IF(Tidstabel[[#This Row],[År]]&gt;Input_Tidshorisont,BlankTegn,
IF(Tidstabel[[#This Row],[År]]=0,0,Tidstabel[[#This Row],[VS_Uds?]]*-VS_Enhedspris*VS_Genoprettelse*((1+Tidstabel[[#This Row],[Kalkulationsrente]])^-Tidstabel[[#This Row],[År]])*((1+PrisudviklingGenerelt)^Tidstabel[[#This Row],[År]]))),BlankTegn)</f>
        <v>.</v>
      </c>
      <c r="BL18" s="245">
        <f>IFERROR(IF(Tidstabel[[#This Row],[År]]&gt;Input_Tidshorisont,BlankTegn,
IF(Tidstabel[[#This Row],[År]]=0,-EI_Enhedspris,0)),BlankTegn)</f>
        <v>0</v>
      </c>
      <c r="BM18" s="245" t="str">
        <f>IFERROR(IF(Tidstabel[[#This Row],[År]]&gt;Input_Tidshorisont,BlankTegn,
IF(Tidstabel[[#This Row],[År]]=0,EI_Enhedspris/EI_Levetid,BM17*((1+Tidstabel[[#This Row],[Kalkulationsrente]])^-1)*((1+PrisudviklingGenerelt)^1))),BlankTegn)</f>
        <v>.</v>
      </c>
      <c r="BN18" s="178" t="str">
        <f ca="1">IFERROR(IF(Tidstabel[[#This Row],[År]]&gt;Input_Tidshorisont,BlankTegn,
IF(EI_Vedligehold_i=1,IF(Tidstabel[[#This Row],[EI_Uds?]]=0,1,0),IF(MAX(BN17:OFFSET(BO17,2-EI_Vedligehold_i,0),Tidstabel[[#This Row],[EI_Uds?]])=0,1,0))),BlankTegn)</f>
        <v>.</v>
      </c>
      <c r="BO18" s="178" t="str">
        <f>IFERROR(IF(Tidstabel[[#This Row],[År]]&gt;Input_Tidshorisont,BlankTegn,
IF(Tidstabel[[#This Row],[År]]=0,1,IF(MOD(Tidstabel[[#This Row],[År]],EI_Levetid)=0,1,IF(Tidstabel[[#This Row],[År]]=Input_Tidshorisont,0,0)))),BlankTegn)</f>
        <v>.</v>
      </c>
      <c r="BP18" s="245" t="str">
        <f ca="1">IFERROR(IF(Tidstabel[[#This Row],[År]]&gt;Input_Tidshorisont,BlankTegn,
EI_Vedligehold_p*-EI_Enhedspris*Tidstabel[[#This Row],[EI_Ved?]]*((1+Tidstabel[[#This Row],[Kalkulationsrente]])^-Tidstabel[[#This Row],[År]])*((1+PrisudviklingGenerelt)^Tidstabel[[#This Row],[År]])),BlankTegn)</f>
        <v>.</v>
      </c>
      <c r="BQ18" s="245" t="str">
        <f>IFERROR(IF(Tidstabel[[#This Row],[År]]&gt;Input_Tidshorisont,BlankTegn,
IF(Tidstabel[[#This Row],[År]]=0,EI_Enhedspris,SUM(BQ17:BR17)*((1+Tidstabel[[#This Row],[Kalkulationsrente]])^-1)*((1+PrisudviklingGenerelt)^1)-Tidstabel[[#This Row],[EI_Afskrivning]])),BlankTegn)</f>
        <v>.</v>
      </c>
      <c r="BR18" s="245" t="str">
        <f>IFERROR(IF(Tidstabel[[#This Row],[År]]&gt;Input_Tidshorisont,BlankTegn,
IF(Tidstabel[[#This Row],[År]]=0,0,Tidstabel[[#This Row],[EI_Uds?]]*EI_Enhedspris*((1+Tidstabel[[#This Row],[Kalkulationsrente]])^-Tidstabel[[#This Row],[År]])*((1+PrisudviklingGenerelt)^Tidstabel[[#This Row],[År]]))),BlankTegn)</f>
        <v>.</v>
      </c>
      <c r="BS18" s="262" t="str">
        <f>IFERROR(IF(Tidstabel[[#This Row],[År]]&gt;Input_Tidshorisont,BlankTegn,
IF(Tidstabel[[#This Row],[År]]=0,0,Tidstabel[[#This Row],[EI_Uds?]]*-EI_Enhedspris*EI_Genoprettelse*((1+Tidstabel[[#This Row],[Kalkulationsrente]])^-Tidstabel[[#This Row],[År]])*((1+PrisudviklingGenerelt)^Tidstabel[[#This Row],[År]]))),BlankTegn)</f>
        <v>.</v>
      </c>
      <c r="BT18" s="245">
        <f>IFERROR(IF(Tidstabel[[#This Row],[År]]&gt;Input_Tidshorisont,BlankTegn,
IF(Tidstabel[[#This Row],[År]]=0,-AP_Enhedspris,0)),BlankTegn)</f>
        <v>0</v>
      </c>
      <c r="BU18" s="245" t="str">
        <f>IFERROR(IF(Tidstabel[[#This Row],[År]]&gt;Input_Tidshorisont,BlankTegn,
IF(Tidstabel[[#This Row],[År]]=0,AP_Enhedspris/AP_Levetid,BU17*((1+Tidstabel[[#This Row],[Kalkulationsrente]])^-1)*((1+PrisudviklingGenerelt)^1))),BlankTegn)</f>
        <v>.</v>
      </c>
      <c r="BV18" s="178" t="str">
        <f ca="1">IFERROR(IF(Tidstabel[[#This Row],[År]]&gt;Input_Tidshorisont,BlankTegn,
IF(AP_Vedligehold_i=1,IF(Tidstabel[[#This Row],[AP_Uds?]]=0,1,0),IF(MAX(BV17:OFFSET(BW17,2-AP_Vedligehold_i,0),Tidstabel[[#This Row],[AP_Uds?]])=0,1,0))),BlankTegn)</f>
        <v>.</v>
      </c>
      <c r="BW18" s="178" t="str">
        <f>IFERROR(IF(Tidstabel[[#This Row],[År]]&gt;Input_Tidshorisont,BlankTegn,
IF(Tidstabel[[#This Row],[År]]=0,1,IF(MOD(Tidstabel[[#This Row],[År]],AP_Levetid)=0,1,IF(Tidstabel[[#This Row],[År]]=Input_Tidshorisont,0,0)))),BlankTegn)</f>
        <v>.</v>
      </c>
      <c r="BX18" s="245" t="str">
        <f ca="1">IFERROR(IF(Tidstabel[[#This Row],[År]]&gt;Input_Tidshorisont,BlankTegn,
AP_Vedligehold_p*-AP_Enhedspris*Tidstabel[[#This Row],[AP_Ved?]]*((1+Tidstabel[[#This Row],[Kalkulationsrente]])^-Tidstabel[[#This Row],[År]])*((1+PrisudviklingGenerelt)^Tidstabel[[#This Row],[År]])),BlankTegn)</f>
        <v>.</v>
      </c>
      <c r="BY18" s="245" t="str">
        <f>IFERROR(IF(Tidstabel[[#This Row],[År]]&gt;Input_Tidshorisont,BlankTegn,
IF(Tidstabel[[#This Row],[År]]=0,AP_Enhedspris,SUM(BY17:BZ17)*((1+Tidstabel[[#This Row],[Kalkulationsrente]])^-1)*((1+PrisudviklingGenerelt)^1)-Tidstabel[[#This Row],[AP_Afskrivning]])),BlankTegn)</f>
        <v>.</v>
      </c>
      <c r="BZ18" s="245" t="str">
        <f>IFERROR(IF(Tidstabel[[#This Row],[År]]&gt;Input_Tidshorisont,BlankTegn,
IF(Tidstabel[[#This Row],[År]]=0,0,Tidstabel[[#This Row],[AP_Uds?]]*AP_Enhedspris*((1+Tidstabel[[#This Row],[Kalkulationsrente]])^-Tidstabel[[#This Row],[År]])*((1+PrisudviklingGenerelt)^Tidstabel[[#This Row],[År]]))),BlankTegn)</f>
        <v>.</v>
      </c>
      <c r="CA18" s="262" t="str">
        <f>IFERROR(IF(Tidstabel[[#This Row],[År]]&gt;Input_Tidshorisont,BlankTegn,
IF(Tidstabel[[#This Row],[År]]=0,0,Tidstabel[[#This Row],[AP_Uds?]]*-AP_Enhedspris*AP_Genoprettelse*((1+Tidstabel[[#This Row],[Kalkulationsrente]])^-Tidstabel[[#This Row],[År]])*((1+PrisudviklingGenerelt)^Tidstabel[[#This Row],[År]]))),BlankTegn)</f>
        <v>.</v>
      </c>
      <c r="CB18" s="245">
        <f>IFERROR(IF(Tidstabel[[#This Row],[År]]&gt;Input_Tidshorisont,BlankTegn,
IF(Tidstabel[[#This Row],[År]]=0,-SK_Enhedspris,0)),BlankTegn)</f>
        <v>0</v>
      </c>
      <c r="CC18" s="245" t="str">
        <f>IFERROR(IF(Tidstabel[[#This Row],[År]]&gt;Input_Tidshorisont,BlankTegn,
IF(Tidstabel[[#This Row],[År]]=0,SK_Enhedspris/SK_Levetid,CC17*((1+Tidstabel[[#This Row],[Kalkulationsrente]])^-1)*((1+PrisudviklingGenerelt)^1))),BlankTegn)</f>
        <v>.</v>
      </c>
      <c r="CD18" s="178" t="str">
        <f ca="1">IFERROR(IF(Tidstabel[[#This Row],[År]]&gt;Input_Tidshorisont,BlankTegn,
IF(SK_Vedligehold_i=1,IF(Tidstabel[[#This Row],[SK_Uds?]]=0,1,0),IF(MAX(CD17:OFFSET(CE17,2-SK_Vedligehold_i,0),Tidstabel[[#This Row],[SK_Uds?]])=0,1,0))),BlankTegn)</f>
        <v>.</v>
      </c>
      <c r="CE18" s="178" t="str">
        <f>IFERROR(IF(Tidstabel[[#This Row],[År]]&gt;Input_Tidshorisont,BlankTegn,
IF(Tidstabel[[#This Row],[År]]=0,1,IF(MOD(Tidstabel[[#This Row],[År]],SK_Levetid)=0,1,IF(Tidstabel[[#This Row],[År]]=Input_Tidshorisont,0,0)))),BlankTegn)</f>
        <v>.</v>
      </c>
      <c r="CF18" s="245" t="str">
        <f ca="1">IFERROR(IF(Tidstabel[[#This Row],[År]]&gt;Input_Tidshorisont,BlankTegn,
SK_Vedligehold_p*-SK_Enhedspris*Tidstabel[[#This Row],[SK_Ved?]]*((1+Tidstabel[[#This Row],[Kalkulationsrente]])^-Tidstabel[[#This Row],[År]])*((1+PrisudviklingGenerelt)^Tidstabel[[#This Row],[År]])),BlankTegn)</f>
        <v>.</v>
      </c>
      <c r="CG18" s="245" t="str">
        <f>IFERROR(IF(Tidstabel[[#This Row],[År]]&gt;Input_Tidshorisont,BlankTegn,
IF(Tidstabel[[#This Row],[År]]=0,SK_Enhedspris,SUM(CG17:CH17)*((1+Tidstabel[[#This Row],[Kalkulationsrente]])^-1)*((1+PrisudviklingGenerelt)^1)-Tidstabel[[#This Row],[SK_Afskrivning]])),BlankTegn)</f>
        <v>.</v>
      </c>
      <c r="CH18" s="245" t="str">
        <f>IFERROR(IF(Tidstabel[[#This Row],[År]]&gt;Input_Tidshorisont,BlankTegn,
IF(Tidstabel[[#This Row],[År]]=0,0,Tidstabel[[#This Row],[SK_Uds?]]*SK_Enhedspris*((1+Tidstabel[[#This Row],[Kalkulationsrente]])^-Tidstabel[[#This Row],[År]])*((1+PrisudviklingGenerelt)^Tidstabel[[#This Row],[År]]))),BlankTegn)</f>
        <v>.</v>
      </c>
      <c r="CI18" s="262" t="str">
        <f>IFERROR(IF(Tidstabel[[#This Row],[År]]&gt;Input_Tidshorisont,BlankTegn,
IF(Tidstabel[[#This Row],[År]]=0,0,Tidstabel[[#This Row],[SK_Uds?]]*-SK_Enhedspris*SK_Genoprettelse*((1+Tidstabel[[#This Row],[Kalkulationsrente]])^-Tidstabel[[#This Row],[År]])*((1+PrisudviklingGenerelt)^Tidstabel[[#This Row],[År]]))),BlankTegn)</f>
        <v>.</v>
      </c>
      <c r="CJ18" s="19"/>
    </row>
    <row r="19" spans="1:88">
      <c r="A19" s="250">
        <v>12</v>
      </c>
      <c r="B19" s="250">
        <f>Input_Etableringsår+Tidstabel[[#This Row],[År]]</f>
        <v>2036</v>
      </c>
      <c r="C19" s="274" cm="1">
        <f t="array" ref="C19">_xlfn.IFS(Tidstabel[[#This Row],[År]]&gt;KR_Trin3_Tærskel,KR_Trin3_Rente,Tidstabel[[#This Row],[År]]&gt;KR_Trin2_Tærskel,KR_Trin2_Rente,Tidstabel[[#This Row],[År]]&gt;KR_Trin1_Tærskel,KR_Trin1_Rente,Tidstabel[[#This Row],[År]]&gt;KR_Trin0_Tærskel,KR_Trin0_Rente)</f>
        <v>3.5000000000000003E-2</v>
      </c>
      <c r="D19" s="142" t="str" cm="1">
        <f t="array" ref="D19">IFERROR(
INDEX(Range_Materiale_ÅrligeEmissioner,MATCH(1,(Materialedata[Komponent]=FB_Titel)*(Materialedata[Materiale]=FB_Materiale),0),MATCH(Tidstabel[[#This Row],[År]],Range_Materiale_År,0)),BlankTegn)</f>
        <v>.</v>
      </c>
      <c r="E19" s="142" t="str" cm="1">
        <f t="array" ref="E19">IFERROR(
INDEX(Range_Materiale_ÅrligeEmissioner,MATCH(1,(Materialedata[Komponent]=SK_Titel)*(Materialedata[Materiale]=SK_Materiale),0),MATCH(Tidstabel[[#This Row],[År]],Range_Materiale_År,0)),BlankTegn)</f>
        <v>.</v>
      </c>
      <c r="F19" s="142" t="str" cm="1">
        <f t="array" ref="F19">IFERROR(
INDEX(Range_Materiale_ÅrligeEmissioner,MATCH(1,(Materialedata[Komponent]=EI_Titel)*(Materialedata[Materiale]=EI_Materiale),0),MATCH(Tidstabel[[#This Row],[År]],Range_Materiale_År,0)),BlankTegn)</f>
        <v>.</v>
      </c>
      <c r="G19" s="142" t="str" cm="1">
        <f t="array" ref="G19">IFERROR(
INDEX(Range_Materiale_ÅrligeEmissioner,MATCH(1,(Materialedata[Komponent]=AP_Titel)*(Materialedata[Materiale]=AP_Materiale),0),MATCH(Tidstabel[[#This Row],[År]],Range_Materiale_År,0)),BlankTegn)</f>
        <v>.</v>
      </c>
      <c r="H19" s="142" t="str" cm="1">
        <f t="array" ref="H19">IFERROR(
INDEX(Range_Materiale_ÅrligeEmissioner,MATCH(1,(Materialedata[Komponent]=VS_Titel)*(Materialedata[Materiale]=VS_Materiale),0),MATCH(Tidstabel[[#This Row],[År]],Range_Materiale_År,0)),BlankTegn)</f>
        <v>.</v>
      </c>
      <c r="I19" s="142" t="str">
        <f>IFERROR(
IF(SUM(Tidstabel[[#This Row],[Facadebeklædning]:[Vindspærre]])=0,BlankTegn,
SUM(Tidstabel[[#This Row],[Facadebeklædning]:[Vindspærre]])),BlankTegn)</f>
        <v>.</v>
      </c>
      <c r="J19" s="139">
        <f>IF(Tidstabel[[#This Row],[År]]&gt;Input_Tidshorisont,BlankTegn,
A5_ElVarmeBrændstofByggeplads)</f>
        <v>0.25</v>
      </c>
      <c r="K19" s="142" t="str">
        <f>IFERROR(IF(Tidstabel[[#This Row],[År]]&gt;Input_Tidshorisont,BlankTegn,
-1*INDEX(Range_Energi_ÅrligBesparelse,MATCH(Input_EksisterendeFacade,Energiberegning[Ydervæg],0),MATCH(Tidstabel[[#This Row],[Årstal]],Range_Energi_Årstal,0))),BlankTegn)</f>
        <v>.</v>
      </c>
      <c r="L19" s="142">
        <f>IF(Tidstabel[[#This Row],[År]]&gt;Input_Tidshorisont,BlankTegn,
(Tidstabel[[#This Row],[År]]+1)*(SUM(Vedligeholdelsesmaterialer[Facadefarve],Vedligeholdelsesmaterialer[Grunder og mellemmaling])/12+SUM(Vedligeholdelsesmaterialer[Puds])/30))</f>
        <v>4.2231057158333334</v>
      </c>
      <c r="M19" s="142" t="str">
        <f>IFERROR(IF(Tidstabel[[#This Row],[År]]&gt;Input_Tidshorisont,BlankTegn,
Tidstabel[[#This Row],[Materialer_Total]]+Tidstabel[[#This Row],[Byggeprocess]]),BlankTegn)</f>
        <v>.</v>
      </c>
      <c r="N19" s="142" t="str">
        <f>IFERROR(IF(Tidstabel[[#This Row],[År]]&gt;Input_Tidshorisont,BlankTegn,
Tidstabel[[#This Row],[Energibesparelse]]+Tidstabel[[#This Row],[Emission_Brutto]]),BlankTegn)</f>
        <v>.</v>
      </c>
      <c r="O19" s="142" t="str">
        <f>IFERROR(IF(Tidstabel[[#This Row],[År]]&gt;Input_Tidshorisont,BlankTegn,
Tidstabel[[#This Row],[Emission_Netto]]-Tidstabel[[#This Row],[Vedligehold_EksisterendeFacade]]),BlankTegn)</f>
        <v>.</v>
      </c>
      <c r="P19" s="271" t="str">
        <f>IFERROR(IF(Tidstabel[[#This Row],[År]]&gt;Input_Tidshorisont,BlankTegn,
IF(AND(Tidstabel[[#This Row],[Emission_Netto]]-Tidstabel[[#This Row],[Vedligehold_EksisterendeFacade]]&gt;0,N20-L20&lt;0),-1,IF(AND(Tidstabel[[#This Row],[Emission_Netto]]-Tidstabel[[#This Row],[Vedligehold_EksisterendeFacade]]&lt;0,N20-L20&gt;0),1,0))),BlankTegn)</f>
        <v>.</v>
      </c>
      <c r="Q19" s="174" t="str">
        <f>IF(Tidstabel[[#This Row],[År]]&gt;Input_Tidshorisont,BlankTegn,
IF(Tidstabel[[#This Row],[LCA-Skæring]]=-1,SUM(Tidstabel[[#This Row],[År]]*(1-ABS(Tidstabel[[#This Row],[LCA-Difference]])/(ABS(Tidstabel[[#This Row],[LCA-Difference]])+ABS(O20))),A20*(1-ABS(O20)/(ABS(Tidstabel[[#This Row],[LCA-Difference]])+ABS(O20)))),"-"))</f>
        <v>-</v>
      </c>
      <c r="R19" s="174" t="str">
        <f>IF(Tidstabel[[#This Row],[År]]&gt;Input_Tidshorisont,BlankTegn,
IF(Tidstabel[[#This Row],[LCA-Skæring]]=-1,SUM(Tidstabel[[#This Row],[Emission_Netto]]*(1-ABS(Tidstabel[[#This Row],[LCA-Difference]])/(ABS(Tidstabel[[#This Row],[LCA-Difference]])+ABS(O20))),N20*(1-ABS(O20)/(ABS(Tidstabel[[#This Row],[LCA-Difference]])+ABS(O20)))),"-"))</f>
        <v>-</v>
      </c>
      <c r="S19" s="174" t="str">
        <f>IF(Tidstabel[[#This Row],[År]]&gt;Input_Tidshorisont,BlankTegn,
IF(Tidstabel[[#This Row],[LCA-Skæring]]=1,SUM(Tidstabel[[#This Row],[År]]*(1-ABS(Tidstabel[[#This Row],[LCA-Difference]])/(ABS(Tidstabel[[#This Row],[LCA-Difference]])+ABS(O20))),A20*(1-ABS(O20)/(ABS(Tidstabel[[#This Row],[LCA-Difference]])+ABS(O20)))),"-"))</f>
        <v>-</v>
      </c>
      <c r="T19" s="264" t="str">
        <f>IF(Tidstabel[[#This Row],[År]]&gt;Input_Tidshorisont,BlankTegn,
IF(Tidstabel[[#This Row],[LCA-Skæring]]=1,SUM(Tidstabel[[#This Row],[Emission_Netto]]*(1-ABS(Tidstabel[[#This Row],[LCA-Difference]])/(ABS(Tidstabel[[#This Row],[LCA-Difference]])+ABS(O20))),N20*(1-ABS(O20)/(ABS(Tidstabel[[#This Row],[LCA-Difference]])+ABS(O20)))),"-"))</f>
        <v>-</v>
      </c>
      <c r="U19" s="142" t="str">
        <f ca="1">IFERROR(IF(Tidstabel[[#This Row],[År]]&gt;Input_Tidshorisont,BlankTegn,
Tidstabel[[#This Row],[NPV_Klimafacade]]-Tidstabel[[#This Row],[NPV_Eksisterende]]),BlankTegn)</f>
        <v>.</v>
      </c>
      <c r="V19" s="271" t="str">
        <f ca="1">IFERROR(IF(Tidstabel[[#This Row],[År]]&gt;Input_Tidshorisont,BlankTegn,
IF(AND(Tidstabel[[#This Row],[NPV_Klimafacade]]-Tidstabel[[#This Row],[NPV_Eksisterende]]&gt;0,AB20-AA20&lt;0),1,IF(AND(Tidstabel[[#This Row],[NPV_Klimafacade]]-Tidstabel[[#This Row],[NPV_Eksisterende]]&lt;0,AB20-AA20&gt;0),-1,0))),BlankTegn)</f>
        <v>.</v>
      </c>
      <c r="W19" s="174" t="str">
        <f ca="1">IF(Tidstabel[[#This Row],[År]]&gt;Input_Tidshorisont,BlankTegn,
IF(Tidstabel[[#This Row],[LCC-Skæring]]=-1,SUM(Tidstabel[[#This Row],[År]]*(1-ABS(Tidstabel[[#This Row],[LCC-Difference]])/(ABS(Tidstabel[[#This Row],[LCC-Difference]])+ABS(U20))),A20*(1-ABS(U20)/(ABS(Tidstabel[[#This Row],[LCC-Difference]])+ABS(U20)))),"-"))</f>
        <v>-</v>
      </c>
      <c r="X19" s="174" t="str">
        <f ca="1">IF(Tidstabel[[#This Row],[År]]&gt;Input_Tidshorisont,BlankTegn,
IF(Tidstabel[[#This Row],[LCC-Skæring]]=-1,SUM(Tidstabel[[#This Row],[NPV_Klimafacade]]*(1-ABS(Tidstabel[[#This Row],[LCC-Difference]])/(ABS(Tidstabel[[#This Row],[LCC-Difference]])+ABS(U20))),AB20*(1-ABS(U20)/(ABS(Tidstabel[[#This Row],[LCC-Difference]])+ABS(U20)))),"-"))</f>
        <v>-</v>
      </c>
      <c r="Y19" s="174" t="str">
        <f ca="1">IF(Tidstabel[[#This Row],[År]]&gt;Input_Tidshorisont,BlankTegn,
IF(Tidstabel[[#This Row],[LCC-Skæring]]=1,SUM(Tidstabel[[#This Row],[År]]*(1-ABS(Tidstabel[[#This Row],[LCC-Difference]])/(ABS(Tidstabel[[#This Row],[LCC-Difference]])+ABS(U20))),A20*(1-ABS(U20)/(ABS(Tidstabel[[#This Row],[LCC-Difference]])+ABS(U20)))),"-"))</f>
        <v>-</v>
      </c>
      <c r="Z19" s="264" t="str">
        <f ca="1">IF(Tidstabel[[#This Row],[År]]&gt;Input_Tidshorisont,BlankTegn,
IF(Tidstabel[[#This Row],[LCC-Skæring]]=1,SUM(Tidstabel[[#This Row],[NPV_Klimafacade]]*(1-ABS(Tidstabel[[#This Row],[LCC-Difference]])/(ABS(Tidstabel[[#This Row],[LCC-Difference]])+ABS(U20))),AB20*(1-ABS(U20)/(ABS(Tidstabel[[#This Row],[LCC-Difference]])+ABS(U20)))),"-"))</f>
        <v>-</v>
      </c>
      <c r="AA19" s="142">
        <f ca="1">IF(Tidstabel[[#This Row],[År]]&gt;Input_Tidshorisont,BlankTegn,
Tidstabel[[#This Row],[EF_Vedligehold_Aggregeret]])</f>
        <v>-113.54620690824824</v>
      </c>
      <c r="AB19"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19" s="142" t="str">
        <f>IFERROR(IF(Tidstabel[[#This Row],[År]]&gt;Input_Tidshorisont,BlankTegn,
Tidstabel[[#This Row],[KF_Anskaffelse_Aggregeret]]+Tidstabel[[#This Row],[KF_Engangsudgifter_Aggregeret]]),BlankTegn)</f>
        <v>.</v>
      </c>
      <c r="AD19" s="174">
        <f ca="1">IFERROR(IF(Tidstabel[[#This Row],[År]]&gt;Input_Tidshorisont,BlankTegn,
IF(Tidstabel[[#This Row],[År]]=0,0,Tidstabel[[#This Row],[NPV_Eksisterende]]*(Tidstabel[[#This Row],[Kalkulationsrente]]/(1-(1+Tidstabel[[#This Row],[Kalkulationsrente]])^-Tidstabel[[#This Row],[År]])))),BlankTegn)</f>
        <v>-11.750209914784204</v>
      </c>
      <c r="AE19" s="264" t="str">
        <f ca="1">IFERROR(IF(Tidstabel[[#This Row],[År]]&gt;Input_Tidshorisont,BlankTegn,
IF(Tidstabel[[#This Row],[År]]=0,0,Tidstabel[[#This Row],[NPV_Klimafacade]]*(Tidstabel[[#This Row],[Kalkulationsrente]]/(1-(1+Tidstabel[[#This Row],[Kalkulationsrente]])^-Tidstabel[[#This Row],[År]])))),BlankTegn)</f>
        <v>.</v>
      </c>
      <c r="AF19" s="270">
        <f ca="1">IF(Tidstabel[[#This Row],[År]]&gt;Input_Tidshorisont,BlankTegn,
IF(EF_Vedligehold_i=1,IF(Tidstabel[[#This Row],[EF_Uds?]]=0,1,0),IF(MAX(AF18:OFFSET(AG18,2-EF_Vedligehold_i,0),Tidstabel[[#This Row],[EF_Uds?]])=0,1,0)))</f>
        <v>1</v>
      </c>
      <c r="AG19" s="181">
        <f>IF(Tidstabel[[#This Row],[År]]&gt;Input_Tidshorisont,BlankTegn,0)</f>
        <v>0</v>
      </c>
      <c r="AH19" s="263">
        <f ca="1">IF(Tidstabel[[#This Row],[År]]&gt;Input_Tidshorisont,BlankTegn,
Tidstabel[[#This Row],[EF_Ved?]]*EF_Vedligehold_p*-EF_Enhedspris*((1+Tidstabel[[#This Row],[Kalkulationsrente]])^-Tidstabel[[#This Row],[År]])*((1+PrisudviklingGenerelt)^Tidstabel[[#This Row],[År]]))</f>
        <v>-7.0468561669462995</v>
      </c>
      <c r="AI19" s="262">
        <f ca="1">IF(Tidstabel[[#This Row],[År]]&gt;Input_Tidshorisont,BlankTegn,
IF(Tidstabel[[#This Row],[År]]=0,Tidstabel[[#This Row],[EF_Vedligehold]],AI18+Tidstabel[[#This Row],[EF_Vedligehold]]))</f>
        <v>-113.54620690824824</v>
      </c>
      <c r="AJ19" s="245">
        <f>IFERROR(IF(Tidstabel[[#This Row],[År]]&gt;Input_Tidshorisont,BlankTegn,
Tidstabel[[#This Row],[FB_Anskaffelse]]+Tidstabel[[#This Row],[VS_Anskaffelse]]+Tidstabel[[#This Row],[EI_Anskaffelse]]+Tidstabel[[#This Row],[AP_Anskaffelse]]+Tidstabel[[#This Row],[SK_Anskaffelse]]),BlankTegn)</f>
        <v>0</v>
      </c>
      <c r="AK19" s="245" t="str">
        <f>IFERROR(IF(Tidstabel[[#This Row],[År]]&gt;Input_Tidshorisont,BlankTegn,
IF(Tidstabel[[#This Row],[År]]=0,Tidstabel[[#This Row],[KF_Anskaffelse]],AK18+Tidstabel[[#This Row],[KF_Anskaffelse]])),BlankTegn)</f>
        <v>.</v>
      </c>
      <c r="AL19" s="246" t="str">
        <f ca="1">IFERROR(IF(Tidstabel[[#This Row],[År]]&gt;Input_Tidshorisont,BlankTegn,
Tidstabel[[#This Row],[FB_Vedligehold]]+Tidstabel[[#This Row],[VS_Vedligehold]]+Tidstabel[[#This Row],[EI_Vedligehold]]+Tidstabel[[#This Row],[AP_Vedligehold]]+Tidstabel[[#This Row],[SK_Vedligehold]]),BlankTegn)</f>
        <v>.</v>
      </c>
      <c r="AM19" s="245" t="str">
        <f ca="1">IFERROR(IF(Tidstabel[[#This Row],[År]]&gt;Input_Tidshorisont,BlankTegn,
IF(Tidstabel[[#This Row],[År]]=0,Tidstabel[[#This Row],[KF_Vedligehold]],AM18+Tidstabel[[#This Row],[KF_Vedligehold]])),BlankTegn)</f>
        <v>.</v>
      </c>
      <c r="AN19"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19"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19" s="245" t="str">
        <f>IFERROR(IF(Tidstabel[[#This Row],[År]]&gt;Input_Tidshorisont,BlankTegn,
IF(Tidstabel[[#This Row],[År]]=0,Tidstabel[[#This Row],[KF_Udskiftning_Komponent]],AP18+Tidstabel[[#This Row],[KF_Udskiftning_Komponent]])),BlankTegn)</f>
        <v>.</v>
      </c>
      <c r="AQ19" s="245">
        <f>IF(Tidstabel[[#This Row],[År]]&gt;Input_Tidshorisont,BlankTegn,
IF(Tidstabel[[#This Row],[År]]=0,-SUM(Engangsudgifter[Udgift]),0))</f>
        <v>0</v>
      </c>
      <c r="AR19" s="245">
        <f>IFERROR(IF(Tidstabel[[#This Row],[År]]&gt;Input_Tidshorisont,BlankTegn,
IF(Tidstabel[[#This Row],[År]]=0,Tidstabel[[#This Row],[KF_Engangsudgifter]],AR18+Tidstabel[[#This Row],[KF_Engangsudgifter]])),BlankTegn)</f>
        <v>0</v>
      </c>
      <c r="AS19" s="315" t="str">
        <f>IFERROR(IF(Tidstabel[[#This Row],[År]]&gt;Input_Tidshorisont,BlankTegn,
-Energibesparelse_Årlig),BlankTegn)</f>
        <v>.</v>
      </c>
      <c r="AT19" s="245" t="str">
        <f>IFERROR(IF(Tidstabel[[#This Row],[År]]&gt;Input_Tidshorisont,BlankTegn,
IF(Tidstabel[[#This Row],[År]]=0,0,-Tidstabel[[#This Row],[KF_Energiforbrug]]*Input_Fjernvarmepris*((1+Tidstabel[[#This Row],[Kalkulationsrente]])^-Tidstabel[[#This Row],[År]])*((1+PrisudviklingFjernvarme)^Tidstabel[[#This Row],[År]]))),BlankTegn)</f>
        <v>.</v>
      </c>
      <c r="AU19" s="262" t="str">
        <f>IFERROR(IF(Tidstabel[[#This Row],[År]]&gt;Input_Tidshorisont,BlankTegn,
IF(Tidstabel[[#This Row],[År]]=0,Tidstabel[[#This Row],[KF_Forsyning]],AU18+Tidstabel[[#This Row],[KF_Forsyning]])),BlankTegn)</f>
        <v>.</v>
      </c>
      <c r="AV19" s="245">
        <f>IFERROR(IF(Tidstabel[[#This Row],[År]]&gt;Input_Tidshorisont,BlankTegn,
IF(Tidstabel[[#This Row],[År]]=0,-FB_Enhedspris,0)),BlankTegn)</f>
        <v>0</v>
      </c>
      <c r="AW19" s="245" t="str">
        <f>IFERROR(IF(Tidstabel[[#This Row],[År]]&gt;Input_Tidshorisont,BlankTegn,
IF(Tidstabel[[#This Row],[År]]=0,FB_Enhedspris/FB_Levetid,AW18*((1+Tidstabel[[#This Row],[Kalkulationsrente]])^-1)*((1+PrisudviklingGenerelt)^1))),BlankTegn)</f>
        <v>.</v>
      </c>
      <c r="AX19" s="178" t="str">
        <f ca="1">IFERROR(IF(Tidstabel[[#This Row],[År]]&gt;Input_Tidshorisont,BlankTegn,
IF(FB_Vedligehold_i=1,IF(Tidstabel[[#This Row],[FB_Uds?]]=0,1,0),IF(MAX(AX18:OFFSET(AY18,2-FB_Vedligehold_i,0),Tidstabel[[#This Row],[FB_Uds?]])=0,1,0))),BlankTegn)</f>
        <v>.</v>
      </c>
      <c r="AY19" s="178" t="str">
        <f>IFERROR(IF(Tidstabel[[#This Row],[År]]&gt;Input_Tidshorisont,BlankTegn,
IF(Tidstabel[[#This Row],[År]]=0,1,IF(MOD(Tidstabel[[#This Row],[År]],FB_Levetid)=0,1,IF(Tidstabel[[#This Row],[År]]=Input_Tidshorisont,0,0)))),BlankTegn)</f>
        <v>.</v>
      </c>
      <c r="AZ19" s="245" t="str">
        <f ca="1">IFERROR(IF(Tidstabel[[#This Row],[År]]&gt;Input_Tidshorisont,BlankTegn,
FB_Vedligehold_p*-FB_Enhedspris*Tidstabel[[#This Row],[FB_Ved?]]*((1+Tidstabel[[#This Row],[Kalkulationsrente]])^-Tidstabel[[#This Row],[År]])*((1+PrisudviklingGenerelt)^Tidstabel[[#This Row],[År]])),BlankTegn)</f>
        <v>.</v>
      </c>
      <c r="BA19" s="245" t="str">
        <f>IFERROR(IF(Tidstabel[[#This Row],[År]]&gt;Input_Tidshorisont,BlankTegn,
IF(Tidstabel[[#This Row],[År]]=0,FB_Enhedspris,SUM(BA18:BB18)*((1+Tidstabel[[#This Row],[Kalkulationsrente]])^-1)*((1+PrisudviklingGenerelt)^1)-Tidstabel[[#This Row],[FB_Afskrivning]])),BlankTegn)</f>
        <v>.</v>
      </c>
      <c r="BB19" s="245" t="str">
        <f>IFERROR(IF(Tidstabel[[#This Row],[År]]&gt;Input_Tidshorisont,BlankTegn,
IF(Tidstabel[[#This Row],[År]]=0,0,Tidstabel[[#This Row],[FB_Uds?]]*FB_Enhedspris*((1+Tidstabel[[#This Row],[Kalkulationsrente]])^-Tidstabel[[#This Row],[År]])*((1+PrisudviklingGenerelt)^Tidstabel[[#This Row],[År]]))),BlankTegn)</f>
        <v>.</v>
      </c>
      <c r="BC19" s="262" t="str">
        <f>IFERROR(IF(Tidstabel[[#This Row],[År]]&gt;Input_Tidshorisont,BlankTegn,
IF(Tidstabel[[#This Row],[År]]=0,0,Tidstabel[[#This Row],[FB_Uds?]]*-FB_Enhedspris*FB_Genoprettelse*((1+Tidstabel[[#This Row],[Kalkulationsrente]])^-Tidstabel[[#This Row],[År]])*((1+PrisudviklingGenerelt)^Tidstabel[[#This Row],[År]]))),BlankTegn)</f>
        <v>.</v>
      </c>
      <c r="BD19" s="245">
        <f>IFERROR(IF(Tidstabel[[#This Row],[År]]&gt;Input_Tidshorisont,BlankTegn,
IF(Tidstabel[[#This Row],[År]]=0,-VS_Enhedspris,0)),BlankTegn)</f>
        <v>0</v>
      </c>
      <c r="BE19" s="245" t="str">
        <f>IFERROR(IF(Tidstabel[[#This Row],[År]]&gt;Input_Tidshorisont,BlankTegn,
IF(Tidstabel[[#This Row],[År]]=0,VS_Enhedspris/VS_Levetid,BE18*((1+Tidstabel[[#This Row],[Kalkulationsrente]])^-1)*((1+PrisudviklingGenerelt)^1))),BlankTegn)</f>
        <v>.</v>
      </c>
      <c r="BF19" s="178" t="str">
        <f ca="1">IFERROR(IF(Tidstabel[[#This Row],[År]]&gt;Input_Tidshorisont,BlankTegn,
IF(VS_Vedligehold_i=1,IF(Tidstabel[[#This Row],[VS_Uds?]]=0,1,0),IF(MAX(BF18:OFFSET(BG18,2-VS_Vedligehold_i,0),Tidstabel[[#This Row],[VS_Uds?]])=0,1,0))),BlankTegn)</f>
        <v>.</v>
      </c>
      <c r="BG19" s="178" t="str">
        <f>IFERROR(IF(Tidstabel[[#This Row],[År]]&gt;Input_Tidshorisont,BlankTegn,
IF(Tidstabel[[#This Row],[År]]=0,1,IF(MOD(Tidstabel[[#This Row],[År]],VS_Levetid)=0,1,IF(Tidstabel[[#This Row],[År]]=Input_Tidshorisont,0,0)))),BlankTegn)</f>
        <v>.</v>
      </c>
      <c r="BH19" s="245" t="str">
        <f ca="1">IFERROR(IF(Tidstabel[[#This Row],[År]]&gt;Input_Tidshorisont,BlankTegn,
VS_Vedligehold_p*-VS_Enhedspris*Tidstabel[[#This Row],[VS_Ved?]]*((1+Tidstabel[[#This Row],[Kalkulationsrente]])^-Tidstabel[[#This Row],[År]])*((1+PrisudviklingGenerelt)^Tidstabel[[#This Row],[År]])),BlankTegn)</f>
        <v>.</v>
      </c>
      <c r="BI19" s="245" t="str">
        <f>IFERROR(IF(Tidstabel[[#This Row],[År]]&gt;Input_Tidshorisont,BlankTegn,
IF(Tidstabel[[#This Row],[År]]=0,VS_Enhedspris,SUM(BI18:BJ18)*((1+Tidstabel[[#This Row],[Kalkulationsrente]])^-1)*((1+PrisudviklingGenerelt)^1)-Tidstabel[[#This Row],[VS_Afskrivning]])),BlankTegn)</f>
        <v>.</v>
      </c>
      <c r="BJ19" s="245" t="str">
        <f>IFERROR(IF(Tidstabel[[#This Row],[År]]&gt;Input_Tidshorisont,BlankTegn,
IF(Tidstabel[[#This Row],[År]]=0,0,Tidstabel[[#This Row],[VS_Uds?]]*VS_Enhedspris*((1+Tidstabel[[#This Row],[Kalkulationsrente]])^-Tidstabel[[#This Row],[År]])*((1+PrisudviklingGenerelt)^Tidstabel[[#This Row],[År]]))),BlankTegn)</f>
        <v>.</v>
      </c>
      <c r="BK19" s="262" t="str">
        <f>IFERROR(IF(Tidstabel[[#This Row],[År]]&gt;Input_Tidshorisont,BlankTegn,
IF(Tidstabel[[#This Row],[År]]=0,0,Tidstabel[[#This Row],[VS_Uds?]]*-VS_Enhedspris*VS_Genoprettelse*((1+Tidstabel[[#This Row],[Kalkulationsrente]])^-Tidstabel[[#This Row],[År]])*((1+PrisudviklingGenerelt)^Tidstabel[[#This Row],[År]]))),BlankTegn)</f>
        <v>.</v>
      </c>
      <c r="BL19" s="245">
        <f>IFERROR(IF(Tidstabel[[#This Row],[År]]&gt;Input_Tidshorisont,BlankTegn,
IF(Tidstabel[[#This Row],[År]]=0,-EI_Enhedspris,0)),BlankTegn)</f>
        <v>0</v>
      </c>
      <c r="BM19" s="245" t="str">
        <f>IFERROR(IF(Tidstabel[[#This Row],[År]]&gt;Input_Tidshorisont,BlankTegn,
IF(Tidstabel[[#This Row],[År]]=0,EI_Enhedspris/EI_Levetid,BM18*((1+Tidstabel[[#This Row],[Kalkulationsrente]])^-1)*((1+PrisudviklingGenerelt)^1))),BlankTegn)</f>
        <v>.</v>
      </c>
      <c r="BN19" s="178" t="str">
        <f ca="1">IFERROR(IF(Tidstabel[[#This Row],[År]]&gt;Input_Tidshorisont,BlankTegn,
IF(EI_Vedligehold_i=1,IF(Tidstabel[[#This Row],[EI_Uds?]]=0,1,0),IF(MAX(BN18:OFFSET(BO18,2-EI_Vedligehold_i,0),Tidstabel[[#This Row],[EI_Uds?]])=0,1,0))),BlankTegn)</f>
        <v>.</v>
      </c>
      <c r="BO19" s="178" t="str">
        <f>IFERROR(IF(Tidstabel[[#This Row],[År]]&gt;Input_Tidshorisont,BlankTegn,
IF(Tidstabel[[#This Row],[År]]=0,1,IF(MOD(Tidstabel[[#This Row],[År]],EI_Levetid)=0,1,IF(Tidstabel[[#This Row],[År]]=Input_Tidshorisont,0,0)))),BlankTegn)</f>
        <v>.</v>
      </c>
      <c r="BP19" s="245" t="str">
        <f ca="1">IFERROR(IF(Tidstabel[[#This Row],[År]]&gt;Input_Tidshorisont,BlankTegn,
EI_Vedligehold_p*-EI_Enhedspris*Tidstabel[[#This Row],[EI_Ved?]]*((1+Tidstabel[[#This Row],[Kalkulationsrente]])^-Tidstabel[[#This Row],[År]])*((1+PrisudviklingGenerelt)^Tidstabel[[#This Row],[År]])),BlankTegn)</f>
        <v>.</v>
      </c>
      <c r="BQ19" s="245" t="str">
        <f>IFERROR(IF(Tidstabel[[#This Row],[År]]&gt;Input_Tidshorisont,BlankTegn,
IF(Tidstabel[[#This Row],[År]]=0,EI_Enhedspris,SUM(BQ18:BR18)*((1+Tidstabel[[#This Row],[Kalkulationsrente]])^-1)*((1+PrisudviklingGenerelt)^1)-Tidstabel[[#This Row],[EI_Afskrivning]])),BlankTegn)</f>
        <v>.</v>
      </c>
      <c r="BR19" s="245" t="str">
        <f>IFERROR(IF(Tidstabel[[#This Row],[År]]&gt;Input_Tidshorisont,BlankTegn,
IF(Tidstabel[[#This Row],[År]]=0,0,Tidstabel[[#This Row],[EI_Uds?]]*EI_Enhedspris*((1+Tidstabel[[#This Row],[Kalkulationsrente]])^-Tidstabel[[#This Row],[År]])*((1+PrisudviklingGenerelt)^Tidstabel[[#This Row],[År]]))),BlankTegn)</f>
        <v>.</v>
      </c>
      <c r="BS19" s="262" t="str">
        <f>IFERROR(IF(Tidstabel[[#This Row],[År]]&gt;Input_Tidshorisont,BlankTegn,
IF(Tidstabel[[#This Row],[År]]=0,0,Tidstabel[[#This Row],[EI_Uds?]]*-EI_Enhedspris*EI_Genoprettelse*((1+Tidstabel[[#This Row],[Kalkulationsrente]])^-Tidstabel[[#This Row],[År]])*((1+PrisudviklingGenerelt)^Tidstabel[[#This Row],[År]]))),BlankTegn)</f>
        <v>.</v>
      </c>
      <c r="BT19" s="245">
        <f>IFERROR(IF(Tidstabel[[#This Row],[År]]&gt;Input_Tidshorisont,BlankTegn,
IF(Tidstabel[[#This Row],[År]]=0,-AP_Enhedspris,0)),BlankTegn)</f>
        <v>0</v>
      </c>
      <c r="BU19" s="245" t="str">
        <f>IFERROR(IF(Tidstabel[[#This Row],[År]]&gt;Input_Tidshorisont,BlankTegn,
IF(Tidstabel[[#This Row],[År]]=0,AP_Enhedspris/AP_Levetid,BU18*((1+Tidstabel[[#This Row],[Kalkulationsrente]])^-1)*((1+PrisudviklingGenerelt)^1))),BlankTegn)</f>
        <v>.</v>
      </c>
      <c r="BV19" s="178" t="str">
        <f ca="1">IFERROR(IF(Tidstabel[[#This Row],[År]]&gt;Input_Tidshorisont,BlankTegn,
IF(AP_Vedligehold_i=1,IF(Tidstabel[[#This Row],[AP_Uds?]]=0,1,0),IF(MAX(BV18:OFFSET(BW18,2-AP_Vedligehold_i,0),Tidstabel[[#This Row],[AP_Uds?]])=0,1,0))),BlankTegn)</f>
        <v>.</v>
      </c>
      <c r="BW19" s="178" t="str">
        <f>IFERROR(IF(Tidstabel[[#This Row],[År]]&gt;Input_Tidshorisont,BlankTegn,
IF(Tidstabel[[#This Row],[År]]=0,1,IF(MOD(Tidstabel[[#This Row],[År]],AP_Levetid)=0,1,IF(Tidstabel[[#This Row],[År]]=Input_Tidshorisont,0,0)))),BlankTegn)</f>
        <v>.</v>
      </c>
      <c r="BX19" s="245" t="str">
        <f ca="1">IFERROR(IF(Tidstabel[[#This Row],[År]]&gt;Input_Tidshorisont,BlankTegn,
AP_Vedligehold_p*-AP_Enhedspris*Tidstabel[[#This Row],[AP_Ved?]]*((1+Tidstabel[[#This Row],[Kalkulationsrente]])^-Tidstabel[[#This Row],[År]])*((1+PrisudviklingGenerelt)^Tidstabel[[#This Row],[År]])),BlankTegn)</f>
        <v>.</v>
      </c>
      <c r="BY19" s="245" t="str">
        <f>IFERROR(IF(Tidstabel[[#This Row],[År]]&gt;Input_Tidshorisont,BlankTegn,
IF(Tidstabel[[#This Row],[År]]=0,AP_Enhedspris,SUM(BY18:BZ18)*((1+Tidstabel[[#This Row],[Kalkulationsrente]])^-1)*((1+PrisudviklingGenerelt)^1)-Tidstabel[[#This Row],[AP_Afskrivning]])),BlankTegn)</f>
        <v>.</v>
      </c>
      <c r="BZ19" s="245" t="str">
        <f>IFERROR(IF(Tidstabel[[#This Row],[År]]&gt;Input_Tidshorisont,BlankTegn,
IF(Tidstabel[[#This Row],[År]]=0,0,Tidstabel[[#This Row],[AP_Uds?]]*AP_Enhedspris*((1+Tidstabel[[#This Row],[Kalkulationsrente]])^-Tidstabel[[#This Row],[År]])*((1+PrisudviklingGenerelt)^Tidstabel[[#This Row],[År]]))),BlankTegn)</f>
        <v>.</v>
      </c>
      <c r="CA19" s="262" t="str">
        <f>IFERROR(IF(Tidstabel[[#This Row],[År]]&gt;Input_Tidshorisont,BlankTegn,
IF(Tidstabel[[#This Row],[År]]=0,0,Tidstabel[[#This Row],[AP_Uds?]]*-AP_Enhedspris*AP_Genoprettelse*((1+Tidstabel[[#This Row],[Kalkulationsrente]])^-Tidstabel[[#This Row],[År]])*((1+PrisudviklingGenerelt)^Tidstabel[[#This Row],[År]]))),BlankTegn)</f>
        <v>.</v>
      </c>
      <c r="CB19" s="245">
        <f>IFERROR(IF(Tidstabel[[#This Row],[År]]&gt;Input_Tidshorisont,BlankTegn,
IF(Tidstabel[[#This Row],[År]]=0,-SK_Enhedspris,0)),BlankTegn)</f>
        <v>0</v>
      </c>
      <c r="CC19" s="245" t="str">
        <f>IFERROR(IF(Tidstabel[[#This Row],[År]]&gt;Input_Tidshorisont,BlankTegn,
IF(Tidstabel[[#This Row],[År]]=0,SK_Enhedspris/SK_Levetid,CC18*((1+Tidstabel[[#This Row],[Kalkulationsrente]])^-1)*((1+PrisudviklingGenerelt)^1))),BlankTegn)</f>
        <v>.</v>
      </c>
      <c r="CD19" s="178" t="str">
        <f ca="1">IFERROR(IF(Tidstabel[[#This Row],[År]]&gt;Input_Tidshorisont,BlankTegn,
IF(SK_Vedligehold_i=1,IF(Tidstabel[[#This Row],[SK_Uds?]]=0,1,0),IF(MAX(CD18:OFFSET(CE18,2-SK_Vedligehold_i,0),Tidstabel[[#This Row],[SK_Uds?]])=0,1,0))),BlankTegn)</f>
        <v>.</v>
      </c>
      <c r="CE19" s="178" t="str">
        <f>IFERROR(IF(Tidstabel[[#This Row],[År]]&gt;Input_Tidshorisont,BlankTegn,
IF(Tidstabel[[#This Row],[År]]=0,1,IF(MOD(Tidstabel[[#This Row],[År]],SK_Levetid)=0,1,IF(Tidstabel[[#This Row],[År]]=Input_Tidshorisont,0,0)))),BlankTegn)</f>
        <v>.</v>
      </c>
      <c r="CF19" s="245" t="str">
        <f ca="1">IFERROR(IF(Tidstabel[[#This Row],[År]]&gt;Input_Tidshorisont,BlankTegn,
SK_Vedligehold_p*-SK_Enhedspris*Tidstabel[[#This Row],[SK_Ved?]]*((1+Tidstabel[[#This Row],[Kalkulationsrente]])^-Tidstabel[[#This Row],[År]])*((1+PrisudviklingGenerelt)^Tidstabel[[#This Row],[År]])),BlankTegn)</f>
        <v>.</v>
      </c>
      <c r="CG19" s="245" t="str">
        <f>IFERROR(IF(Tidstabel[[#This Row],[År]]&gt;Input_Tidshorisont,BlankTegn,
IF(Tidstabel[[#This Row],[År]]=0,SK_Enhedspris,SUM(CG18:CH18)*((1+Tidstabel[[#This Row],[Kalkulationsrente]])^-1)*((1+PrisudviklingGenerelt)^1)-Tidstabel[[#This Row],[SK_Afskrivning]])),BlankTegn)</f>
        <v>.</v>
      </c>
      <c r="CH19" s="245" t="str">
        <f>IFERROR(IF(Tidstabel[[#This Row],[År]]&gt;Input_Tidshorisont,BlankTegn,
IF(Tidstabel[[#This Row],[År]]=0,0,Tidstabel[[#This Row],[SK_Uds?]]*SK_Enhedspris*((1+Tidstabel[[#This Row],[Kalkulationsrente]])^-Tidstabel[[#This Row],[År]])*((1+PrisudviklingGenerelt)^Tidstabel[[#This Row],[År]]))),BlankTegn)</f>
        <v>.</v>
      </c>
      <c r="CI19" s="262" t="str">
        <f>IFERROR(IF(Tidstabel[[#This Row],[År]]&gt;Input_Tidshorisont,BlankTegn,
IF(Tidstabel[[#This Row],[År]]=0,0,Tidstabel[[#This Row],[SK_Uds?]]*-SK_Enhedspris*SK_Genoprettelse*((1+Tidstabel[[#This Row],[Kalkulationsrente]])^-Tidstabel[[#This Row],[År]])*((1+PrisudviklingGenerelt)^Tidstabel[[#This Row],[År]]))),BlankTegn)</f>
        <v>.</v>
      </c>
      <c r="CJ19" s="19"/>
    </row>
    <row r="20" spans="1:88">
      <c r="A20" s="250">
        <v>13</v>
      </c>
      <c r="B20" s="250">
        <f>Input_Etableringsår+Tidstabel[[#This Row],[År]]</f>
        <v>2037</v>
      </c>
      <c r="C20" s="274" cm="1">
        <f t="array" ref="C20">_xlfn.IFS(Tidstabel[[#This Row],[År]]&gt;KR_Trin3_Tærskel,KR_Trin3_Rente,Tidstabel[[#This Row],[År]]&gt;KR_Trin2_Tærskel,KR_Trin2_Rente,Tidstabel[[#This Row],[År]]&gt;KR_Trin1_Tærskel,KR_Trin1_Rente,Tidstabel[[#This Row],[År]]&gt;KR_Trin0_Tærskel,KR_Trin0_Rente)</f>
        <v>3.5000000000000003E-2</v>
      </c>
      <c r="D20" s="142" t="str" cm="1">
        <f t="array" ref="D20">IFERROR(
INDEX(Range_Materiale_ÅrligeEmissioner,MATCH(1,(Materialedata[Komponent]=FB_Titel)*(Materialedata[Materiale]=FB_Materiale),0),MATCH(Tidstabel[[#This Row],[År]],Range_Materiale_År,0)),BlankTegn)</f>
        <v>.</v>
      </c>
      <c r="E20" s="142" t="str" cm="1">
        <f t="array" ref="E20">IFERROR(
INDEX(Range_Materiale_ÅrligeEmissioner,MATCH(1,(Materialedata[Komponent]=SK_Titel)*(Materialedata[Materiale]=SK_Materiale),0),MATCH(Tidstabel[[#This Row],[År]],Range_Materiale_År,0)),BlankTegn)</f>
        <v>.</v>
      </c>
      <c r="F20" s="142" t="str" cm="1">
        <f t="array" ref="F20">IFERROR(
INDEX(Range_Materiale_ÅrligeEmissioner,MATCH(1,(Materialedata[Komponent]=EI_Titel)*(Materialedata[Materiale]=EI_Materiale),0),MATCH(Tidstabel[[#This Row],[År]],Range_Materiale_År,0)),BlankTegn)</f>
        <v>.</v>
      </c>
      <c r="G20" s="142" t="str" cm="1">
        <f t="array" ref="G20">IFERROR(
INDEX(Range_Materiale_ÅrligeEmissioner,MATCH(1,(Materialedata[Komponent]=AP_Titel)*(Materialedata[Materiale]=AP_Materiale),0),MATCH(Tidstabel[[#This Row],[År]],Range_Materiale_År,0)),BlankTegn)</f>
        <v>.</v>
      </c>
      <c r="H20" s="142" t="str" cm="1">
        <f t="array" ref="H20">IFERROR(
INDEX(Range_Materiale_ÅrligeEmissioner,MATCH(1,(Materialedata[Komponent]=VS_Titel)*(Materialedata[Materiale]=VS_Materiale),0),MATCH(Tidstabel[[#This Row],[År]],Range_Materiale_År,0)),BlankTegn)</f>
        <v>.</v>
      </c>
      <c r="I20" s="142" t="str">
        <f>IFERROR(
IF(SUM(Tidstabel[[#This Row],[Facadebeklædning]:[Vindspærre]])=0,BlankTegn,
SUM(Tidstabel[[#This Row],[Facadebeklædning]:[Vindspærre]])),BlankTegn)</f>
        <v>.</v>
      </c>
      <c r="J20" s="139">
        <f>IF(Tidstabel[[#This Row],[År]]&gt;Input_Tidshorisont,BlankTegn,
A5_ElVarmeBrændstofByggeplads)</f>
        <v>0.25</v>
      </c>
      <c r="K20" s="142" t="str">
        <f>IFERROR(IF(Tidstabel[[#This Row],[År]]&gt;Input_Tidshorisont,BlankTegn,
-1*INDEX(Range_Energi_ÅrligBesparelse,MATCH(Input_EksisterendeFacade,Energiberegning[Ydervæg],0),MATCH(Tidstabel[[#This Row],[Årstal]],Range_Energi_Årstal,0))),BlankTegn)</f>
        <v>.</v>
      </c>
      <c r="L20" s="142">
        <f>IF(Tidstabel[[#This Row],[År]]&gt;Input_Tidshorisont,BlankTegn,
(Tidstabel[[#This Row],[År]]+1)*(SUM(Vedligeholdelsesmaterialer[Facadefarve],Vedligeholdelsesmaterialer[Grunder og mellemmaling])/12+SUM(Vedligeholdelsesmaterialer[Puds])/30))</f>
        <v>4.5479600016666666</v>
      </c>
      <c r="M20" s="142" t="str">
        <f>IFERROR(IF(Tidstabel[[#This Row],[År]]&gt;Input_Tidshorisont,BlankTegn,
Tidstabel[[#This Row],[Materialer_Total]]+Tidstabel[[#This Row],[Byggeprocess]]),BlankTegn)</f>
        <v>.</v>
      </c>
      <c r="N20" s="142" t="str">
        <f>IFERROR(IF(Tidstabel[[#This Row],[År]]&gt;Input_Tidshorisont,BlankTegn,
Tidstabel[[#This Row],[Energibesparelse]]+Tidstabel[[#This Row],[Emission_Brutto]]),BlankTegn)</f>
        <v>.</v>
      </c>
      <c r="O20" s="142" t="str">
        <f>IFERROR(IF(Tidstabel[[#This Row],[År]]&gt;Input_Tidshorisont,BlankTegn,
Tidstabel[[#This Row],[Emission_Netto]]-Tidstabel[[#This Row],[Vedligehold_EksisterendeFacade]]),BlankTegn)</f>
        <v>.</v>
      </c>
      <c r="P20" s="271" t="str">
        <f>IFERROR(IF(Tidstabel[[#This Row],[År]]&gt;Input_Tidshorisont,BlankTegn,
IF(AND(Tidstabel[[#This Row],[Emission_Netto]]-Tidstabel[[#This Row],[Vedligehold_EksisterendeFacade]]&gt;0,N21-L21&lt;0),-1,IF(AND(Tidstabel[[#This Row],[Emission_Netto]]-Tidstabel[[#This Row],[Vedligehold_EksisterendeFacade]]&lt;0,N21-L21&gt;0),1,0))),BlankTegn)</f>
        <v>.</v>
      </c>
      <c r="Q20" s="174" t="str">
        <f>IF(Tidstabel[[#This Row],[År]]&gt;Input_Tidshorisont,BlankTegn,
IF(Tidstabel[[#This Row],[LCA-Skæring]]=-1,SUM(Tidstabel[[#This Row],[År]]*(1-ABS(Tidstabel[[#This Row],[LCA-Difference]])/(ABS(Tidstabel[[#This Row],[LCA-Difference]])+ABS(O21))),A21*(1-ABS(O21)/(ABS(Tidstabel[[#This Row],[LCA-Difference]])+ABS(O21)))),"-"))</f>
        <v>-</v>
      </c>
      <c r="R20" s="174" t="str">
        <f>IF(Tidstabel[[#This Row],[År]]&gt;Input_Tidshorisont,BlankTegn,
IF(Tidstabel[[#This Row],[LCA-Skæring]]=-1,SUM(Tidstabel[[#This Row],[Emission_Netto]]*(1-ABS(Tidstabel[[#This Row],[LCA-Difference]])/(ABS(Tidstabel[[#This Row],[LCA-Difference]])+ABS(O21))),N21*(1-ABS(O21)/(ABS(Tidstabel[[#This Row],[LCA-Difference]])+ABS(O21)))),"-"))</f>
        <v>-</v>
      </c>
      <c r="S20" s="174" t="str">
        <f>IF(Tidstabel[[#This Row],[År]]&gt;Input_Tidshorisont,BlankTegn,
IF(Tidstabel[[#This Row],[LCA-Skæring]]=1,SUM(Tidstabel[[#This Row],[År]]*(1-ABS(Tidstabel[[#This Row],[LCA-Difference]])/(ABS(Tidstabel[[#This Row],[LCA-Difference]])+ABS(O21))),A21*(1-ABS(O21)/(ABS(Tidstabel[[#This Row],[LCA-Difference]])+ABS(O21)))),"-"))</f>
        <v>-</v>
      </c>
      <c r="T20" s="264" t="str">
        <f>IF(Tidstabel[[#This Row],[År]]&gt;Input_Tidshorisont,BlankTegn,
IF(Tidstabel[[#This Row],[LCA-Skæring]]=1,SUM(Tidstabel[[#This Row],[Emission_Netto]]*(1-ABS(Tidstabel[[#This Row],[LCA-Difference]])/(ABS(Tidstabel[[#This Row],[LCA-Difference]])+ABS(O21))),N21*(1-ABS(O21)/(ABS(Tidstabel[[#This Row],[LCA-Difference]])+ABS(O21)))),"-"))</f>
        <v>-</v>
      </c>
      <c r="U20" s="142" t="str">
        <f ca="1">IFERROR(IF(Tidstabel[[#This Row],[År]]&gt;Input_Tidshorisont,BlankTegn,
Tidstabel[[#This Row],[NPV_Klimafacade]]-Tidstabel[[#This Row],[NPV_Eksisterende]]),BlankTegn)</f>
        <v>.</v>
      </c>
      <c r="V20" s="271" t="str">
        <f ca="1">IFERROR(IF(Tidstabel[[#This Row],[År]]&gt;Input_Tidshorisont,BlankTegn,
IF(AND(Tidstabel[[#This Row],[NPV_Klimafacade]]-Tidstabel[[#This Row],[NPV_Eksisterende]]&gt;0,AB21-AA21&lt;0),1,IF(AND(Tidstabel[[#This Row],[NPV_Klimafacade]]-Tidstabel[[#This Row],[NPV_Eksisterende]]&lt;0,AB21-AA21&gt;0),-1,0))),BlankTegn)</f>
        <v>.</v>
      </c>
      <c r="W20" s="174" t="str">
        <f ca="1">IF(Tidstabel[[#This Row],[År]]&gt;Input_Tidshorisont,BlankTegn,
IF(Tidstabel[[#This Row],[LCC-Skæring]]=-1,SUM(Tidstabel[[#This Row],[År]]*(1-ABS(Tidstabel[[#This Row],[LCC-Difference]])/(ABS(Tidstabel[[#This Row],[LCC-Difference]])+ABS(U21))),A21*(1-ABS(U21)/(ABS(Tidstabel[[#This Row],[LCC-Difference]])+ABS(U21)))),"-"))</f>
        <v>-</v>
      </c>
      <c r="X20" s="174" t="str">
        <f ca="1">IF(Tidstabel[[#This Row],[År]]&gt;Input_Tidshorisont,BlankTegn,
IF(Tidstabel[[#This Row],[LCC-Skæring]]=-1,SUM(Tidstabel[[#This Row],[NPV_Klimafacade]]*(1-ABS(Tidstabel[[#This Row],[LCC-Difference]])/(ABS(Tidstabel[[#This Row],[LCC-Difference]])+ABS(U21))),AB21*(1-ABS(U21)/(ABS(Tidstabel[[#This Row],[LCC-Difference]])+ABS(U21)))),"-"))</f>
        <v>-</v>
      </c>
      <c r="Y20" s="174" t="str">
        <f ca="1">IF(Tidstabel[[#This Row],[År]]&gt;Input_Tidshorisont,BlankTegn,
IF(Tidstabel[[#This Row],[LCC-Skæring]]=1,SUM(Tidstabel[[#This Row],[År]]*(1-ABS(Tidstabel[[#This Row],[LCC-Difference]])/(ABS(Tidstabel[[#This Row],[LCC-Difference]])+ABS(U21))),A21*(1-ABS(U21)/(ABS(Tidstabel[[#This Row],[LCC-Difference]])+ABS(U21)))),"-"))</f>
        <v>-</v>
      </c>
      <c r="Z20" s="264" t="str">
        <f ca="1">IF(Tidstabel[[#This Row],[År]]&gt;Input_Tidshorisont,BlankTegn,
IF(Tidstabel[[#This Row],[LCC-Skæring]]=1,SUM(Tidstabel[[#This Row],[NPV_Klimafacade]]*(1-ABS(Tidstabel[[#This Row],[LCC-Difference]])/(ABS(Tidstabel[[#This Row],[LCC-Difference]])+ABS(U21))),AB21*(1-ABS(U21)/(ABS(Tidstabel[[#This Row],[LCC-Difference]])+ABS(U21)))),"-"))</f>
        <v>-</v>
      </c>
      <c r="AA20" s="142">
        <f ca="1">IF(Tidstabel[[#This Row],[År]]&gt;Input_Tidshorisont,BlankTegn,
Tidstabel[[#This Row],[EF_Vedligehold_Aggregeret]])</f>
        <v>-120.35476359128815</v>
      </c>
      <c r="AB20"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20" s="142" t="str">
        <f>IFERROR(IF(Tidstabel[[#This Row],[År]]&gt;Input_Tidshorisont,BlankTegn,
Tidstabel[[#This Row],[KF_Anskaffelse_Aggregeret]]+Tidstabel[[#This Row],[KF_Engangsudgifter_Aggregeret]]),BlankTegn)</f>
        <v>.</v>
      </c>
      <c r="AD20" s="174">
        <f ca="1">IFERROR(IF(Tidstabel[[#This Row],[År]]&gt;Input_Tidshorisont,BlankTegn,
IF(Tidstabel[[#This Row],[År]]=0,0,Tidstabel[[#This Row],[NPV_Eksisterende]]*(Tidstabel[[#This Row],[Kalkulationsrente]]/(1-(1+Tidstabel[[#This Row],[Kalkulationsrente]])^-Tidstabel[[#This Row],[År]])))),BlankTegn)</f>
        <v>-11.681822627734299</v>
      </c>
      <c r="AE20" s="264" t="str">
        <f ca="1">IFERROR(IF(Tidstabel[[#This Row],[År]]&gt;Input_Tidshorisont,BlankTegn,
IF(Tidstabel[[#This Row],[År]]=0,0,Tidstabel[[#This Row],[NPV_Klimafacade]]*(Tidstabel[[#This Row],[Kalkulationsrente]]/(1-(1+Tidstabel[[#This Row],[Kalkulationsrente]])^-Tidstabel[[#This Row],[År]])))),BlankTegn)</f>
        <v>.</v>
      </c>
      <c r="AF20" s="270">
        <f ca="1">IF(Tidstabel[[#This Row],[År]]&gt;Input_Tidshorisont,BlankTegn,
IF(EF_Vedligehold_i=1,IF(Tidstabel[[#This Row],[EF_Uds?]]=0,1,0),IF(MAX(AF19:OFFSET(AG19,2-EF_Vedligehold_i,0),Tidstabel[[#This Row],[EF_Uds?]])=0,1,0)))</f>
        <v>1</v>
      </c>
      <c r="AG20" s="181">
        <f>IF(Tidstabel[[#This Row],[År]]&gt;Input_Tidshorisont,BlankTegn,0)</f>
        <v>0</v>
      </c>
      <c r="AH20" s="263">
        <f ca="1">IF(Tidstabel[[#This Row],[År]]&gt;Input_Tidshorisont,BlankTegn,
Tidstabel[[#This Row],[EF_Ved?]]*EF_Vedligehold_p*-EF_Enhedspris*((1+Tidstabel[[#This Row],[Kalkulationsrente]])^-Tidstabel[[#This Row],[År]])*((1+PrisudviklingGenerelt)^Tidstabel[[#This Row],[År]]))</f>
        <v>-6.8085566830399049</v>
      </c>
      <c r="AI20" s="262">
        <f ca="1">IF(Tidstabel[[#This Row],[År]]&gt;Input_Tidshorisont,BlankTegn,
IF(Tidstabel[[#This Row],[År]]=0,Tidstabel[[#This Row],[EF_Vedligehold]],AI19+Tidstabel[[#This Row],[EF_Vedligehold]]))</f>
        <v>-120.35476359128815</v>
      </c>
      <c r="AJ20" s="245">
        <f>IFERROR(IF(Tidstabel[[#This Row],[År]]&gt;Input_Tidshorisont,BlankTegn,
Tidstabel[[#This Row],[FB_Anskaffelse]]+Tidstabel[[#This Row],[VS_Anskaffelse]]+Tidstabel[[#This Row],[EI_Anskaffelse]]+Tidstabel[[#This Row],[AP_Anskaffelse]]+Tidstabel[[#This Row],[SK_Anskaffelse]]),BlankTegn)</f>
        <v>0</v>
      </c>
      <c r="AK20" s="245" t="str">
        <f>IFERROR(IF(Tidstabel[[#This Row],[År]]&gt;Input_Tidshorisont,BlankTegn,
IF(Tidstabel[[#This Row],[År]]=0,Tidstabel[[#This Row],[KF_Anskaffelse]],AK19+Tidstabel[[#This Row],[KF_Anskaffelse]])),BlankTegn)</f>
        <v>.</v>
      </c>
      <c r="AL20" s="246" t="str">
        <f ca="1">IFERROR(IF(Tidstabel[[#This Row],[År]]&gt;Input_Tidshorisont,BlankTegn,
Tidstabel[[#This Row],[FB_Vedligehold]]+Tidstabel[[#This Row],[VS_Vedligehold]]+Tidstabel[[#This Row],[EI_Vedligehold]]+Tidstabel[[#This Row],[AP_Vedligehold]]+Tidstabel[[#This Row],[SK_Vedligehold]]),BlankTegn)</f>
        <v>.</v>
      </c>
      <c r="AM20" s="245" t="str">
        <f ca="1">IFERROR(IF(Tidstabel[[#This Row],[År]]&gt;Input_Tidshorisont,BlankTegn,
IF(Tidstabel[[#This Row],[År]]=0,Tidstabel[[#This Row],[KF_Vedligehold]],AM19+Tidstabel[[#This Row],[KF_Vedligehold]])),BlankTegn)</f>
        <v>.</v>
      </c>
      <c r="AN20"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20"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20" s="245" t="str">
        <f>IFERROR(IF(Tidstabel[[#This Row],[År]]&gt;Input_Tidshorisont,BlankTegn,
IF(Tidstabel[[#This Row],[År]]=0,Tidstabel[[#This Row],[KF_Udskiftning_Komponent]],AP19+Tidstabel[[#This Row],[KF_Udskiftning_Komponent]])),BlankTegn)</f>
        <v>.</v>
      </c>
      <c r="AQ20" s="245">
        <f>IF(Tidstabel[[#This Row],[År]]&gt;Input_Tidshorisont,BlankTegn,
IF(Tidstabel[[#This Row],[År]]=0,-SUM(Engangsudgifter[Udgift]),0))</f>
        <v>0</v>
      </c>
      <c r="AR20" s="245">
        <f>IFERROR(IF(Tidstabel[[#This Row],[År]]&gt;Input_Tidshorisont,BlankTegn,
IF(Tidstabel[[#This Row],[År]]=0,Tidstabel[[#This Row],[KF_Engangsudgifter]],AR19+Tidstabel[[#This Row],[KF_Engangsudgifter]])),BlankTegn)</f>
        <v>0</v>
      </c>
      <c r="AS20" s="315" t="str">
        <f>IFERROR(IF(Tidstabel[[#This Row],[År]]&gt;Input_Tidshorisont,BlankTegn,
-Energibesparelse_Årlig),BlankTegn)</f>
        <v>.</v>
      </c>
      <c r="AT20" s="245" t="str">
        <f>IFERROR(IF(Tidstabel[[#This Row],[År]]&gt;Input_Tidshorisont,BlankTegn,
IF(Tidstabel[[#This Row],[År]]=0,0,-Tidstabel[[#This Row],[KF_Energiforbrug]]*Input_Fjernvarmepris*((1+Tidstabel[[#This Row],[Kalkulationsrente]])^-Tidstabel[[#This Row],[År]])*((1+PrisudviklingFjernvarme)^Tidstabel[[#This Row],[År]]))),BlankTegn)</f>
        <v>.</v>
      </c>
      <c r="AU20" s="262" t="str">
        <f>IFERROR(IF(Tidstabel[[#This Row],[År]]&gt;Input_Tidshorisont,BlankTegn,
IF(Tidstabel[[#This Row],[År]]=0,Tidstabel[[#This Row],[KF_Forsyning]],AU19+Tidstabel[[#This Row],[KF_Forsyning]])),BlankTegn)</f>
        <v>.</v>
      </c>
      <c r="AV20" s="245">
        <f>IFERROR(IF(Tidstabel[[#This Row],[År]]&gt;Input_Tidshorisont,BlankTegn,
IF(Tidstabel[[#This Row],[År]]=0,-FB_Enhedspris,0)),BlankTegn)</f>
        <v>0</v>
      </c>
      <c r="AW20" s="245" t="str">
        <f>IFERROR(IF(Tidstabel[[#This Row],[År]]&gt;Input_Tidshorisont,BlankTegn,
IF(Tidstabel[[#This Row],[År]]=0,FB_Enhedspris/FB_Levetid,AW19*((1+Tidstabel[[#This Row],[Kalkulationsrente]])^-1)*((1+PrisudviklingGenerelt)^1))),BlankTegn)</f>
        <v>.</v>
      </c>
      <c r="AX20" s="178" t="str">
        <f ca="1">IFERROR(IF(Tidstabel[[#This Row],[År]]&gt;Input_Tidshorisont,BlankTegn,
IF(FB_Vedligehold_i=1,IF(Tidstabel[[#This Row],[FB_Uds?]]=0,1,0),IF(MAX(AX19:OFFSET(AY19,2-FB_Vedligehold_i,0),Tidstabel[[#This Row],[FB_Uds?]])=0,1,0))),BlankTegn)</f>
        <v>.</v>
      </c>
      <c r="AY20" s="178" t="str">
        <f>IFERROR(IF(Tidstabel[[#This Row],[År]]&gt;Input_Tidshorisont,BlankTegn,
IF(Tidstabel[[#This Row],[År]]=0,1,IF(MOD(Tidstabel[[#This Row],[År]],FB_Levetid)=0,1,IF(Tidstabel[[#This Row],[År]]=Input_Tidshorisont,0,0)))),BlankTegn)</f>
        <v>.</v>
      </c>
      <c r="AZ20" s="245" t="str">
        <f ca="1">IFERROR(IF(Tidstabel[[#This Row],[År]]&gt;Input_Tidshorisont,BlankTegn,
FB_Vedligehold_p*-FB_Enhedspris*Tidstabel[[#This Row],[FB_Ved?]]*((1+Tidstabel[[#This Row],[Kalkulationsrente]])^-Tidstabel[[#This Row],[År]])*((1+PrisudviklingGenerelt)^Tidstabel[[#This Row],[År]])),BlankTegn)</f>
        <v>.</v>
      </c>
      <c r="BA20" s="245" t="str">
        <f>IFERROR(IF(Tidstabel[[#This Row],[År]]&gt;Input_Tidshorisont,BlankTegn,
IF(Tidstabel[[#This Row],[År]]=0,FB_Enhedspris,SUM(BA19:BB19)*((1+Tidstabel[[#This Row],[Kalkulationsrente]])^-1)*((1+PrisudviklingGenerelt)^1)-Tidstabel[[#This Row],[FB_Afskrivning]])),BlankTegn)</f>
        <v>.</v>
      </c>
      <c r="BB20" s="245" t="str">
        <f>IFERROR(IF(Tidstabel[[#This Row],[År]]&gt;Input_Tidshorisont,BlankTegn,
IF(Tidstabel[[#This Row],[År]]=0,0,Tidstabel[[#This Row],[FB_Uds?]]*FB_Enhedspris*((1+Tidstabel[[#This Row],[Kalkulationsrente]])^-Tidstabel[[#This Row],[År]])*((1+PrisudviklingGenerelt)^Tidstabel[[#This Row],[År]]))),BlankTegn)</f>
        <v>.</v>
      </c>
      <c r="BC20" s="262" t="str">
        <f>IFERROR(IF(Tidstabel[[#This Row],[År]]&gt;Input_Tidshorisont,BlankTegn,
IF(Tidstabel[[#This Row],[År]]=0,0,Tidstabel[[#This Row],[FB_Uds?]]*-FB_Enhedspris*FB_Genoprettelse*((1+Tidstabel[[#This Row],[Kalkulationsrente]])^-Tidstabel[[#This Row],[År]])*((1+PrisudviklingGenerelt)^Tidstabel[[#This Row],[År]]))),BlankTegn)</f>
        <v>.</v>
      </c>
      <c r="BD20" s="245">
        <f>IFERROR(IF(Tidstabel[[#This Row],[År]]&gt;Input_Tidshorisont,BlankTegn,
IF(Tidstabel[[#This Row],[År]]=0,-VS_Enhedspris,0)),BlankTegn)</f>
        <v>0</v>
      </c>
      <c r="BE20" s="245" t="str">
        <f>IFERROR(IF(Tidstabel[[#This Row],[År]]&gt;Input_Tidshorisont,BlankTegn,
IF(Tidstabel[[#This Row],[År]]=0,VS_Enhedspris/VS_Levetid,BE19*((1+Tidstabel[[#This Row],[Kalkulationsrente]])^-1)*((1+PrisudviklingGenerelt)^1))),BlankTegn)</f>
        <v>.</v>
      </c>
      <c r="BF20" s="178" t="str">
        <f ca="1">IFERROR(IF(Tidstabel[[#This Row],[År]]&gt;Input_Tidshorisont,BlankTegn,
IF(VS_Vedligehold_i=1,IF(Tidstabel[[#This Row],[VS_Uds?]]=0,1,0),IF(MAX(BF19:OFFSET(BG19,2-VS_Vedligehold_i,0),Tidstabel[[#This Row],[VS_Uds?]])=0,1,0))),BlankTegn)</f>
        <v>.</v>
      </c>
      <c r="BG20" s="178" t="str">
        <f>IFERROR(IF(Tidstabel[[#This Row],[År]]&gt;Input_Tidshorisont,BlankTegn,
IF(Tidstabel[[#This Row],[År]]=0,1,IF(MOD(Tidstabel[[#This Row],[År]],VS_Levetid)=0,1,IF(Tidstabel[[#This Row],[År]]=Input_Tidshorisont,0,0)))),BlankTegn)</f>
        <v>.</v>
      </c>
      <c r="BH20" s="245" t="str">
        <f ca="1">IFERROR(IF(Tidstabel[[#This Row],[År]]&gt;Input_Tidshorisont,BlankTegn,
VS_Vedligehold_p*-VS_Enhedspris*Tidstabel[[#This Row],[VS_Ved?]]*((1+Tidstabel[[#This Row],[Kalkulationsrente]])^-Tidstabel[[#This Row],[År]])*((1+PrisudviklingGenerelt)^Tidstabel[[#This Row],[År]])),BlankTegn)</f>
        <v>.</v>
      </c>
      <c r="BI20" s="245" t="str">
        <f>IFERROR(IF(Tidstabel[[#This Row],[År]]&gt;Input_Tidshorisont,BlankTegn,
IF(Tidstabel[[#This Row],[År]]=0,VS_Enhedspris,SUM(BI19:BJ19)*((1+Tidstabel[[#This Row],[Kalkulationsrente]])^-1)*((1+PrisudviklingGenerelt)^1)-Tidstabel[[#This Row],[VS_Afskrivning]])),BlankTegn)</f>
        <v>.</v>
      </c>
      <c r="BJ20" s="245" t="str">
        <f>IFERROR(IF(Tidstabel[[#This Row],[År]]&gt;Input_Tidshorisont,BlankTegn,
IF(Tidstabel[[#This Row],[År]]=0,0,Tidstabel[[#This Row],[VS_Uds?]]*VS_Enhedspris*((1+Tidstabel[[#This Row],[Kalkulationsrente]])^-Tidstabel[[#This Row],[År]])*((1+PrisudviklingGenerelt)^Tidstabel[[#This Row],[År]]))),BlankTegn)</f>
        <v>.</v>
      </c>
      <c r="BK20" s="262" t="str">
        <f>IFERROR(IF(Tidstabel[[#This Row],[År]]&gt;Input_Tidshorisont,BlankTegn,
IF(Tidstabel[[#This Row],[År]]=0,0,Tidstabel[[#This Row],[VS_Uds?]]*-VS_Enhedspris*VS_Genoprettelse*((1+Tidstabel[[#This Row],[Kalkulationsrente]])^-Tidstabel[[#This Row],[År]])*((1+PrisudviklingGenerelt)^Tidstabel[[#This Row],[År]]))),BlankTegn)</f>
        <v>.</v>
      </c>
      <c r="BL20" s="245">
        <f>IFERROR(IF(Tidstabel[[#This Row],[År]]&gt;Input_Tidshorisont,BlankTegn,
IF(Tidstabel[[#This Row],[År]]=0,-EI_Enhedspris,0)),BlankTegn)</f>
        <v>0</v>
      </c>
      <c r="BM20" s="245" t="str">
        <f>IFERROR(IF(Tidstabel[[#This Row],[År]]&gt;Input_Tidshorisont,BlankTegn,
IF(Tidstabel[[#This Row],[År]]=0,EI_Enhedspris/EI_Levetid,BM19*((1+Tidstabel[[#This Row],[Kalkulationsrente]])^-1)*((1+PrisudviklingGenerelt)^1))),BlankTegn)</f>
        <v>.</v>
      </c>
      <c r="BN20" s="178" t="str">
        <f ca="1">IFERROR(IF(Tidstabel[[#This Row],[År]]&gt;Input_Tidshorisont,BlankTegn,
IF(EI_Vedligehold_i=1,IF(Tidstabel[[#This Row],[EI_Uds?]]=0,1,0),IF(MAX(BN19:OFFSET(BO19,2-EI_Vedligehold_i,0),Tidstabel[[#This Row],[EI_Uds?]])=0,1,0))),BlankTegn)</f>
        <v>.</v>
      </c>
      <c r="BO20" s="178" t="str">
        <f>IFERROR(IF(Tidstabel[[#This Row],[År]]&gt;Input_Tidshorisont,BlankTegn,
IF(Tidstabel[[#This Row],[År]]=0,1,IF(MOD(Tidstabel[[#This Row],[År]],EI_Levetid)=0,1,IF(Tidstabel[[#This Row],[År]]=Input_Tidshorisont,0,0)))),BlankTegn)</f>
        <v>.</v>
      </c>
      <c r="BP20" s="245" t="str">
        <f ca="1">IFERROR(IF(Tidstabel[[#This Row],[År]]&gt;Input_Tidshorisont,BlankTegn,
EI_Vedligehold_p*-EI_Enhedspris*Tidstabel[[#This Row],[EI_Ved?]]*((1+Tidstabel[[#This Row],[Kalkulationsrente]])^-Tidstabel[[#This Row],[År]])*((1+PrisudviklingGenerelt)^Tidstabel[[#This Row],[År]])),BlankTegn)</f>
        <v>.</v>
      </c>
      <c r="BQ20" s="245" t="str">
        <f>IFERROR(IF(Tidstabel[[#This Row],[År]]&gt;Input_Tidshorisont,BlankTegn,
IF(Tidstabel[[#This Row],[År]]=0,EI_Enhedspris,SUM(BQ19:BR19)*((1+Tidstabel[[#This Row],[Kalkulationsrente]])^-1)*((1+PrisudviklingGenerelt)^1)-Tidstabel[[#This Row],[EI_Afskrivning]])),BlankTegn)</f>
        <v>.</v>
      </c>
      <c r="BR20" s="245" t="str">
        <f>IFERROR(IF(Tidstabel[[#This Row],[År]]&gt;Input_Tidshorisont,BlankTegn,
IF(Tidstabel[[#This Row],[År]]=0,0,Tidstabel[[#This Row],[EI_Uds?]]*EI_Enhedspris*((1+Tidstabel[[#This Row],[Kalkulationsrente]])^-Tidstabel[[#This Row],[År]])*((1+PrisudviklingGenerelt)^Tidstabel[[#This Row],[År]]))),BlankTegn)</f>
        <v>.</v>
      </c>
      <c r="BS20" s="262" t="str">
        <f>IFERROR(IF(Tidstabel[[#This Row],[År]]&gt;Input_Tidshorisont,BlankTegn,
IF(Tidstabel[[#This Row],[År]]=0,0,Tidstabel[[#This Row],[EI_Uds?]]*-EI_Enhedspris*EI_Genoprettelse*((1+Tidstabel[[#This Row],[Kalkulationsrente]])^-Tidstabel[[#This Row],[År]])*((1+PrisudviklingGenerelt)^Tidstabel[[#This Row],[År]]))),BlankTegn)</f>
        <v>.</v>
      </c>
      <c r="BT20" s="245">
        <f>IFERROR(IF(Tidstabel[[#This Row],[År]]&gt;Input_Tidshorisont,BlankTegn,
IF(Tidstabel[[#This Row],[År]]=0,-AP_Enhedspris,0)),BlankTegn)</f>
        <v>0</v>
      </c>
      <c r="BU20" s="245" t="str">
        <f>IFERROR(IF(Tidstabel[[#This Row],[År]]&gt;Input_Tidshorisont,BlankTegn,
IF(Tidstabel[[#This Row],[År]]=0,AP_Enhedspris/AP_Levetid,BU19*((1+Tidstabel[[#This Row],[Kalkulationsrente]])^-1)*((1+PrisudviklingGenerelt)^1))),BlankTegn)</f>
        <v>.</v>
      </c>
      <c r="BV20" s="178" t="str">
        <f ca="1">IFERROR(IF(Tidstabel[[#This Row],[År]]&gt;Input_Tidshorisont,BlankTegn,
IF(AP_Vedligehold_i=1,IF(Tidstabel[[#This Row],[AP_Uds?]]=0,1,0),IF(MAX(BV19:OFFSET(BW19,2-AP_Vedligehold_i,0),Tidstabel[[#This Row],[AP_Uds?]])=0,1,0))),BlankTegn)</f>
        <v>.</v>
      </c>
      <c r="BW20" s="178" t="str">
        <f>IFERROR(IF(Tidstabel[[#This Row],[År]]&gt;Input_Tidshorisont,BlankTegn,
IF(Tidstabel[[#This Row],[År]]=0,1,IF(MOD(Tidstabel[[#This Row],[År]],AP_Levetid)=0,1,IF(Tidstabel[[#This Row],[År]]=Input_Tidshorisont,0,0)))),BlankTegn)</f>
        <v>.</v>
      </c>
      <c r="BX20" s="245" t="str">
        <f ca="1">IFERROR(IF(Tidstabel[[#This Row],[År]]&gt;Input_Tidshorisont,BlankTegn,
AP_Vedligehold_p*-AP_Enhedspris*Tidstabel[[#This Row],[AP_Ved?]]*((1+Tidstabel[[#This Row],[Kalkulationsrente]])^-Tidstabel[[#This Row],[År]])*((1+PrisudviklingGenerelt)^Tidstabel[[#This Row],[År]])),BlankTegn)</f>
        <v>.</v>
      </c>
      <c r="BY20" s="245" t="str">
        <f>IFERROR(IF(Tidstabel[[#This Row],[År]]&gt;Input_Tidshorisont,BlankTegn,
IF(Tidstabel[[#This Row],[År]]=0,AP_Enhedspris,SUM(BY19:BZ19)*((1+Tidstabel[[#This Row],[Kalkulationsrente]])^-1)*((1+PrisudviklingGenerelt)^1)-Tidstabel[[#This Row],[AP_Afskrivning]])),BlankTegn)</f>
        <v>.</v>
      </c>
      <c r="BZ20" s="245" t="str">
        <f>IFERROR(IF(Tidstabel[[#This Row],[År]]&gt;Input_Tidshorisont,BlankTegn,
IF(Tidstabel[[#This Row],[År]]=0,0,Tidstabel[[#This Row],[AP_Uds?]]*AP_Enhedspris*((1+Tidstabel[[#This Row],[Kalkulationsrente]])^-Tidstabel[[#This Row],[År]])*((1+PrisudviklingGenerelt)^Tidstabel[[#This Row],[År]]))),BlankTegn)</f>
        <v>.</v>
      </c>
      <c r="CA20" s="262" t="str">
        <f>IFERROR(IF(Tidstabel[[#This Row],[År]]&gt;Input_Tidshorisont,BlankTegn,
IF(Tidstabel[[#This Row],[År]]=0,0,Tidstabel[[#This Row],[AP_Uds?]]*-AP_Enhedspris*AP_Genoprettelse*((1+Tidstabel[[#This Row],[Kalkulationsrente]])^-Tidstabel[[#This Row],[År]])*((1+PrisudviklingGenerelt)^Tidstabel[[#This Row],[År]]))),BlankTegn)</f>
        <v>.</v>
      </c>
      <c r="CB20" s="245">
        <f>IFERROR(IF(Tidstabel[[#This Row],[År]]&gt;Input_Tidshorisont,BlankTegn,
IF(Tidstabel[[#This Row],[År]]=0,-SK_Enhedspris,0)),BlankTegn)</f>
        <v>0</v>
      </c>
      <c r="CC20" s="245" t="str">
        <f>IFERROR(IF(Tidstabel[[#This Row],[År]]&gt;Input_Tidshorisont,BlankTegn,
IF(Tidstabel[[#This Row],[År]]=0,SK_Enhedspris/SK_Levetid,CC19*((1+Tidstabel[[#This Row],[Kalkulationsrente]])^-1)*((1+PrisudviklingGenerelt)^1))),BlankTegn)</f>
        <v>.</v>
      </c>
      <c r="CD20" s="178" t="str">
        <f ca="1">IFERROR(IF(Tidstabel[[#This Row],[År]]&gt;Input_Tidshorisont,BlankTegn,
IF(SK_Vedligehold_i=1,IF(Tidstabel[[#This Row],[SK_Uds?]]=0,1,0),IF(MAX(CD19:OFFSET(CE19,2-SK_Vedligehold_i,0),Tidstabel[[#This Row],[SK_Uds?]])=0,1,0))),BlankTegn)</f>
        <v>.</v>
      </c>
      <c r="CE20" s="178" t="str">
        <f>IFERROR(IF(Tidstabel[[#This Row],[År]]&gt;Input_Tidshorisont,BlankTegn,
IF(Tidstabel[[#This Row],[År]]=0,1,IF(MOD(Tidstabel[[#This Row],[År]],SK_Levetid)=0,1,IF(Tidstabel[[#This Row],[År]]=Input_Tidshorisont,0,0)))),BlankTegn)</f>
        <v>.</v>
      </c>
      <c r="CF20" s="245" t="str">
        <f ca="1">IFERROR(IF(Tidstabel[[#This Row],[År]]&gt;Input_Tidshorisont,BlankTegn,
SK_Vedligehold_p*-SK_Enhedspris*Tidstabel[[#This Row],[SK_Ved?]]*((1+Tidstabel[[#This Row],[Kalkulationsrente]])^-Tidstabel[[#This Row],[År]])*((1+PrisudviklingGenerelt)^Tidstabel[[#This Row],[År]])),BlankTegn)</f>
        <v>.</v>
      </c>
      <c r="CG20" s="245" t="str">
        <f>IFERROR(IF(Tidstabel[[#This Row],[År]]&gt;Input_Tidshorisont,BlankTegn,
IF(Tidstabel[[#This Row],[År]]=0,SK_Enhedspris,SUM(CG19:CH19)*((1+Tidstabel[[#This Row],[Kalkulationsrente]])^-1)*((1+PrisudviklingGenerelt)^1)-Tidstabel[[#This Row],[SK_Afskrivning]])),BlankTegn)</f>
        <v>.</v>
      </c>
      <c r="CH20" s="245" t="str">
        <f>IFERROR(IF(Tidstabel[[#This Row],[År]]&gt;Input_Tidshorisont,BlankTegn,
IF(Tidstabel[[#This Row],[År]]=0,0,Tidstabel[[#This Row],[SK_Uds?]]*SK_Enhedspris*((1+Tidstabel[[#This Row],[Kalkulationsrente]])^-Tidstabel[[#This Row],[År]])*((1+PrisudviklingGenerelt)^Tidstabel[[#This Row],[År]]))),BlankTegn)</f>
        <v>.</v>
      </c>
      <c r="CI20" s="262" t="str">
        <f>IFERROR(IF(Tidstabel[[#This Row],[År]]&gt;Input_Tidshorisont,BlankTegn,
IF(Tidstabel[[#This Row],[År]]=0,0,Tidstabel[[#This Row],[SK_Uds?]]*-SK_Enhedspris*SK_Genoprettelse*((1+Tidstabel[[#This Row],[Kalkulationsrente]])^-Tidstabel[[#This Row],[År]])*((1+PrisudviklingGenerelt)^Tidstabel[[#This Row],[År]]))),BlankTegn)</f>
        <v>.</v>
      </c>
      <c r="CJ20" s="19"/>
    </row>
    <row r="21" spans="1:88">
      <c r="A21" s="250">
        <v>14</v>
      </c>
      <c r="B21" s="250">
        <f>Input_Etableringsår+Tidstabel[[#This Row],[År]]</f>
        <v>2038</v>
      </c>
      <c r="C21" s="274" cm="1">
        <f t="array" ref="C21">_xlfn.IFS(Tidstabel[[#This Row],[År]]&gt;KR_Trin3_Tærskel,KR_Trin3_Rente,Tidstabel[[#This Row],[År]]&gt;KR_Trin2_Tærskel,KR_Trin2_Rente,Tidstabel[[#This Row],[År]]&gt;KR_Trin1_Tærskel,KR_Trin1_Rente,Tidstabel[[#This Row],[År]]&gt;KR_Trin0_Tærskel,KR_Trin0_Rente)</f>
        <v>3.5000000000000003E-2</v>
      </c>
      <c r="D21" s="142" t="str" cm="1">
        <f t="array" ref="D21">IFERROR(
INDEX(Range_Materiale_ÅrligeEmissioner,MATCH(1,(Materialedata[Komponent]=FB_Titel)*(Materialedata[Materiale]=FB_Materiale),0),MATCH(Tidstabel[[#This Row],[År]],Range_Materiale_År,0)),BlankTegn)</f>
        <v>.</v>
      </c>
      <c r="E21" s="142" t="str" cm="1">
        <f t="array" ref="E21">IFERROR(
INDEX(Range_Materiale_ÅrligeEmissioner,MATCH(1,(Materialedata[Komponent]=SK_Titel)*(Materialedata[Materiale]=SK_Materiale),0),MATCH(Tidstabel[[#This Row],[År]],Range_Materiale_År,0)),BlankTegn)</f>
        <v>.</v>
      </c>
      <c r="F21" s="142" t="str" cm="1">
        <f t="array" ref="F21">IFERROR(
INDEX(Range_Materiale_ÅrligeEmissioner,MATCH(1,(Materialedata[Komponent]=EI_Titel)*(Materialedata[Materiale]=EI_Materiale),0),MATCH(Tidstabel[[#This Row],[År]],Range_Materiale_År,0)),BlankTegn)</f>
        <v>.</v>
      </c>
      <c r="G21" s="142" t="str" cm="1">
        <f t="array" ref="G21">IFERROR(
INDEX(Range_Materiale_ÅrligeEmissioner,MATCH(1,(Materialedata[Komponent]=AP_Titel)*(Materialedata[Materiale]=AP_Materiale),0),MATCH(Tidstabel[[#This Row],[År]],Range_Materiale_År,0)),BlankTegn)</f>
        <v>.</v>
      </c>
      <c r="H21" s="142" t="str" cm="1">
        <f t="array" ref="H21">IFERROR(
INDEX(Range_Materiale_ÅrligeEmissioner,MATCH(1,(Materialedata[Komponent]=VS_Titel)*(Materialedata[Materiale]=VS_Materiale),0),MATCH(Tidstabel[[#This Row],[År]],Range_Materiale_År,0)),BlankTegn)</f>
        <v>.</v>
      </c>
      <c r="I21" s="142" t="str">
        <f>IFERROR(
IF(SUM(Tidstabel[[#This Row],[Facadebeklædning]:[Vindspærre]])=0,BlankTegn,
SUM(Tidstabel[[#This Row],[Facadebeklædning]:[Vindspærre]])),BlankTegn)</f>
        <v>.</v>
      </c>
      <c r="J21" s="139">
        <f>IF(Tidstabel[[#This Row],[År]]&gt;Input_Tidshorisont,BlankTegn,
A5_ElVarmeBrændstofByggeplads)</f>
        <v>0.25</v>
      </c>
      <c r="K21" s="142" t="str">
        <f>IFERROR(IF(Tidstabel[[#This Row],[År]]&gt;Input_Tidshorisont,BlankTegn,
-1*INDEX(Range_Energi_ÅrligBesparelse,MATCH(Input_EksisterendeFacade,Energiberegning[Ydervæg],0),MATCH(Tidstabel[[#This Row],[Årstal]],Range_Energi_Årstal,0))),BlankTegn)</f>
        <v>.</v>
      </c>
      <c r="L21" s="142">
        <f>IF(Tidstabel[[#This Row],[År]]&gt;Input_Tidshorisont,BlankTegn,
(Tidstabel[[#This Row],[År]]+1)*(SUM(Vedligeholdelsesmaterialer[Facadefarve],Vedligeholdelsesmaterialer[Grunder og mellemmaling])/12+SUM(Vedligeholdelsesmaterialer[Puds])/30))</f>
        <v>4.8728142874999998</v>
      </c>
      <c r="M21" s="142" t="str">
        <f>IFERROR(IF(Tidstabel[[#This Row],[År]]&gt;Input_Tidshorisont,BlankTegn,
Tidstabel[[#This Row],[Materialer_Total]]+Tidstabel[[#This Row],[Byggeprocess]]),BlankTegn)</f>
        <v>.</v>
      </c>
      <c r="N21" s="142" t="str">
        <f>IFERROR(IF(Tidstabel[[#This Row],[År]]&gt;Input_Tidshorisont,BlankTegn,
Tidstabel[[#This Row],[Energibesparelse]]+Tidstabel[[#This Row],[Emission_Brutto]]),BlankTegn)</f>
        <v>.</v>
      </c>
      <c r="O21" s="142" t="str">
        <f>IFERROR(IF(Tidstabel[[#This Row],[År]]&gt;Input_Tidshorisont,BlankTegn,
Tidstabel[[#This Row],[Emission_Netto]]-Tidstabel[[#This Row],[Vedligehold_EksisterendeFacade]]),BlankTegn)</f>
        <v>.</v>
      </c>
      <c r="P21" s="271" t="str">
        <f>IFERROR(IF(Tidstabel[[#This Row],[År]]&gt;Input_Tidshorisont,BlankTegn,
IF(AND(Tidstabel[[#This Row],[Emission_Netto]]-Tidstabel[[#This Row],[Vedligehold_EksisterendeFacade]]&gt;0,N22-L22&lt;0),-1,IF(AND(Tidstabel[[#This Row],[Emission_Netto]]-Tidstabel[[#This Row],[Vedligehold_EksisterendeFacade]]&lt;0,N22-L22&gt;0),1,0))),BlankTegn)</f>
        <v>.</v>
      </c>
      <c r="Q21" s="174" t="str">
        <f>IF(Tidstabel[[#This Row],[År]]&gt;Input_Tidshorisont,BlankTegn,
IF(Tidstabel[[#This Row],[LCA-Skæring]]=-1,SUM(Tidstabel[[#This Row],[År]]*(1-ABS(Tidstabel[[#This Row],[LCA-Difference]])/(ABS(Tidstabel[[#This Row],[LCA-Difference]])+ABS(O22))),A22*(1-ABS(O22)/(ABS(Tidstabel[[#This Row],[LCA-Difference]])+ABS(O22)))),"-"))</f>
        <v>-</v>
      </c>
      <c r="R21" s="174" t="str">
        <f>IF(Tidstabel[[#This Row],[År]]&gt;Input_Tidshorisont,BlankTegn,
IF(Tidstabel[[#This Row],[LCA-Skæring]]=-1,SUM(Tidstabel[[#This Row],[Emission_Netto]]*(1-ABS(Tidstabel[[#This Row],[LCA-Difference]])/(ABS(Tidstabel[[#This Row],[LCA-Difference]])+ABS(O22))),N22*(1-ABS(O22)/(ABS(Tidstabel[[#This Row],[LCA-Difference]])+ABS(O22)))),"-"))</f>
        <v>-</v>
      </c>
      <c r="S21" s="174" t="str">
        <f>IF(Tidstabel[[#This Row],[År]]&gt;Input_Tidshorisont,BlankTegn,
IF(Tidstabel[[#This Row],[LCA-Skæring]]=1,SUM(Tidstabel[[#This Row],[År]]*(1-ABS(Tidstabel[[#This Row],[LCA-Difference]])/(ABS(Tidstabel[[#This Row],[LCA-Difference]])+ABS(O22))),A22*(1-ABS(O22)/(ABS(Tidstabel[[#This Row],[LCA-Difference]])+ABS(O22)))),"-"))</f>
        <v>-</v>
      </c>
      <c r="T21" s="264" t="str">
        <f>IF(Tidstabel[[#This Row],[År]]&gt;Input_Tidshorisont,BlankTegn,
IF(Tidstabel[[#This Row],[LCA-Skæring]]=1,SUM(Tidstabel[[#This Row],[Emission_Netto]]*(1-ABS(Tidstabel[[#This Row],[LCA-Difference]])/(ABS(Tidstabel[[#This Row],[LCA-Difference]])+ABS(O22))),N22*(1-ABS(O22)/(ABS(Tidstabel[[#This Row],[LCA-Difference]])+ABS(O22)))),"-"))</f>
        <v>-</v>
      </c>
      <c r="U21" s="142" t="str">
        <f ca="1">IFERROR(IF(Tidstabel[[#This Row],[År]]&gt;Input_Tidshorisont,BlankTegn,
Tidstabel[[#This Row],[NPV_Klimafacade]]-Tidstabel[[#This Row],[NPV_Eksisterende]]),BlankTegn)</f>
        <v>.</v>
      </c>
      <c r="V21" s="271" t="str">
        <f ca="1">IFERROR(IF(Tidstabel[[#This Row],[År]]&gt;Input_Tidshorisont,BlankTegn,
IF(AND(Tidstabel[[#This Row],[NPV_Klimafacade]]-Tidstabel[[#This Row],[NPV_Eksisterende]]&gt;0,AB22-AA22&lt;0),1,IF(AND(Tidstabel[[#This Row],[NPV_Klimafacade]]-Tidstabel[[#This Row],[NPV_Eksisterende]]&lt;0,AB22-AA22&gt;0),-1,0))),BlankTegn)</f>
        <v>.</v>
      </c>
      <c r="W21" s="174" t="str">
        <f ca="1">IF(Tidstabel[[#This Row],[År]]&gt;Input_Tidshorisont,BlankTegn,
IF(Tidstabel[[#This Row],[LCC-Skæring]]=-1,SUM(Tidstabel[[#This Row],[År]]*(1-ABS(Tidstabel[[#This Row],[LCC-Difference]])/(ABS(Tidstabel[[#This Row],[LCC-Difference]])+ABS(U22))),A22*(1-ABS(U22)/(ABS(Tidstabel[[#This Row],[LCC-Difference]])+ABS(U22)))),"-"))</f>
        <v>-</v>
      </c>
      <c r="X21" s="174" t="str">
        <f ca="1">IF(Tidstabel[[#This Row],[År]]&gt;Input_Tidshorisont,BlankTegn,
IF(Tidstabel[[#This Row],[LCC-Skæring]]=-1,SUM(Tidstabel[[#This Row],[NPV_Klimafacade]]*(1-ABS(Tidstabel[[#This Row],[LCC-Difference]])/(ABS(Tidstabel[[#This Row],[LCC-Difference]])+ABS(U22))),AB22*(1-ABS(U22)/(ABS(Tidstabel[[#This Row],[LCC-Difference]])+ABS(U22)))),"-"))</f>
        <v>-</v>
      </c>
      <c r="Y21" s="174" t="str">
        <f ca="1">IF(Tidstabel[[#This Row],[År]]&gt;Input_Tidshorisont,BlankTegn,
IF(Tidstabel[[#This Row],[LCC-Skæring]]=1,SUM(Tidstabel[[#This Row],[År]]*(1-ABS(Tidstabel[[#This Row],[LCC-Difference]])/(ABS(Tidstabel[[#This Row],[LCC-Difference]])+ABS(U22))),A22*(1-ABS(U22)/(ABS(Tidstabel[[#This Row],[LCC-Difference]])+ABS(U22)))),"-"))</f>
        <v>-</v>
      </c>
      <c r="Z21" s="264" t="str">
        <f ca="1">IF(Tidstabel[[#This Row],[År]]&gt;Input_Tidshorisont,BlankTegn,
IF(Tidstabel[[#This Row],[LCC-Skæring]]=1,SUM(Tidstabel[[#This Row],[NPV_Klimafacade]]*(1-ABS(Tidstabel[[#This Row],[LCC-Difference]])/(ABS(Tidstabel[[#This Row],[LCC-Difference]])+ABS(U22))),AB22*(1-ABS(U22)/(ABS(Tidstabel[[#This Row],[LCC-Difference]])+ABS(U22)))),"-"))</f>
        <v>-</v>
      </c>
      <c r="AA21" s="142">
        <f ca="1">IF(Tidstabel[[#This Row],[År]]&gt;Input_Tidshorisont,BlankTegn,
Tidstabel[[#This Row],[EF_Vedligehold_Aggregeret]])</f>
        <v>-126.9330792270755</v>
      </c>
      <c r="AB21"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21" s="142" t="str">
        <f>IFERROR(IF(Tidstabel[[#This Row],[År]]&gt;Input_Tidshorisont,BlankTegn,
Tidstabel[[#This Row],[KF_Anskaffelse_Aggregeret]]+Tidstabel[[#This Row],[KF_Engangsudgifter_Aggregeret]]),BlankTegn)</f>
        <v>.</v>
      </c>
      <c r="AD21" s="174">
        <f ca="1">IFERROR(IF(Tidstabel[[#This Row],[År]]&gt;Input_Tidshorisont,BlankTegn,
IF(Tidstabel[[#This Row],[År]]=0,0,Tidstabel[[#This Row],[NPV_Eksisterende]]*(Tidstabel[[#This Row],[Kalkulationsrente]]/(1-(1+Tidstabel[[#This Row],[Kalkulationsrente]])^-Tidstabel[[#This Row],[År]])))),BlankTegn)</f>
        <v>-11.623354565350279</v>
      </c>
      <c r="AE21" s="264" t="str">
        <f ca="1">IFERROR(IF(Tidstabel[[#This Row],[År]]&gt;Input_Tidshorisont,BlankTegn,
IF(Tidstabel[[#This Row],[År]]=0,0,Tidstabel[[#This Row],[NPV_Klimafacade]]*(Tidstabel[[#This Row],[Kalkulationsrente]]/(1-(1+Tidstabel[[#This Row],[Kalkulationsrente]])^-Tidstabel[[#This Row],[År]])))),BlankTegn)</f>
        <v>.</v>
      </c>
      <c r="AF21" s="270">
        <f ca="1">IF(Tidstabel[[#This Row],[År]]&gt;Input_Tidshorisont,BlankTegn,
IF(EF_Vedligehold_i=1,IF(Tidstabel[[#This Row],[EF_Uds?]]=0,1,0),IF(MAX(AF20:OFFSET(AG20,2-EF_Vedligehold_i,0),Tidstabel[[#This Row],[EF_Uds?]])=0,1,0)))</f>
        <v>1</v>
      </c>
      <c r="AG21" s="181">
        <f>IF(Tidstabel[[#This Row],[År]]&gt;Input_Tidshorisont,BlankTegn,0)</f>
        <v>0</v>
      </c>
      <c r="AH21" s="263">
        <f ca="1">IF(Tidstabel[[#This Row],[År]]&gt;Input_Tidshorisont,BlankTegn,
Tidstabel[[#This Row],[EF_Ved?]]*EF_Vedligehold_p*-EF_Enhedspris*((1+Tidstabel[[#This Row],[Kalkulationsrente]])^-Tidstabel[[#This Row],[År]])*((1+PrisudviklingGenerelt)^Tidstabel[[#This Row],[År]]))</f>
        <v>-6.5783156357873462</v>
      </c>
      <c r="AI21" s="262">
        <f ca="1">IF(Tidstabel[[#This Row],[År]]&gt;Input_Tidshorisont,BlankTegn,
IF(Tidstabel[[#This Row],[År]]=0,Tidstabel[[#This Row],[EF_Vedligehold]],AI20+Tidstabel[[#This Row],[EF_Vedligehold]]))</f>
        <v>-126.9330792270755</v>
      </c>
      <c r="AJ21" s="245">
        <f>IFERROR(IF(Tidstabel[[#This Row],[År]]&gt;Input_Tidshorisont,BlankTegn,
Tidstabel[[#This Row],[FB_Anskaffelse]]+Tidstabel[[#This Row],[VS_Anskaffelse]]+Tidstabel[[#This Row],[EI_Anskaffelse]]+Tidstabel[[#This Row],[AP_Anskaffelse]]+Tidstabel[[#This Row],[SK_Anskaffelse]]),BlankTegn)</f>
        <v>0</v>
      </c>
      <c r="AK21" s="245" t="str">
        <f>IFERROR(IF(Tidstabel[[#This Row],[År]]&gt;Input_Tidshorisont,BlankTegn,
IF(Tidstabel[[#This Row],[År]]=0,Tidstabel[[#This Row],[KF_Anskaffelse]],AK20+Tidstabel[[#This Row],[KF_Anskaffelse]])),BlankTegn)</f>
        <v>.</v>
      </c>
      <c r="AL21" s="246" t="str">
        <f ca="1">IFERROR(IF(Tidstabel[[#This Row],[År]]&gt;Input_Tidshorisont,BlankTegn,
Tidstabel[[#This Row],[FB_Vedligehold]]+Tidstabel[[#This Row],[VS_Vedligehold]]+Tidstabel[[#This Row],[EI_Vedligehold]]+Tidstabel[[#This Row],[AP_Vedligehold]]+Tidstabel[[#This Row],[SK_Vedligehold]]),BlankTegn)</f>
        <v>.</v>
      </c>
      <c r="AM21" s="245" t="str">
        <f ca="1">IFERROR(IF(Tidstabel[[#This Row],[År]]&gt;Input_Tidshorisont,BlankTegn,
IF(Tidstabel[[#This Row],[År]]=0,Tidstabel[[#This Row],[KF_Vedligehold]],AM20+Tidstabel[[#This Row],[KF_Vedligehold]])),BlankTegn)</f>
        <v>.</v>
      </c>
      <c r="AN21"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21"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21" s="245" t="str">
        <f>IFERROR(IF(Tidstabel[[#This Row],[År]]&gt;Input_Tidshorisont,BlankTegn,
IF(Tidstabel[[#This Row],[År]]=0,Tidstabel[[#This Row],[KF_Udskiftning_Komponent]],AP20+Tidstabel[[#This Row],[KF_Udskiftning_Komponent]])),BlankTegn)</f>
        <v>.</v>
      </c>
      <c r="AQ21" s="245">
        <f>IF(Tidstabel[[#This Row],[År]]&gt;Input_Tidshorisont,BlankTegn,
IF(Tidstabel[[#This Row],[År]]=0,-SUM(Engangsudgifter[Udgift]),0))</f>
        <v>0</v>
      </c>
      <c r="AR21" s="245">
        <f>IFERROR(IF(Tidstabel[[#This Row],[År]]&gt;Input_Tidshorisont,BlankTegn,
IF(Tidstabel[[#This Row],[År]]=0,Tidstabel[[#This Row],[KF_Engangsudgifter]],AR20+Tidstabel[[#This Row],[KF_Engangsudgifter]])),BlankTegn)</f>
        <v>0</v>
      </c>
      <c r="AS21" s="315" t="str">
        <f>IFERROR(IF(Tidstabel[[#This Row],[År]]&gt;Input_Tidshorisont,BlankTegn,
-Energibesparelse_Årlig),BlankTegn)</f>
        <v>.</v>
      </c>
      <c r="AT21" s="245" t="str">
        <f>IFERROR(IF(Tidstabel[[#This Row],[År]]&gt;Input_Tidshorisont,BlankTegn,
IF(Tidstabel[[#This Row],[År]]=0,0,-Tidstabel[[#This Row],[KF_Energiforbrug]]*Input_Fjernvarmepris*((1+Tidstabel[[#This Row],[Kalkulationsrente]])^-Tidstabel[[#This Row],[År]])*((1+PrisudviklingFjernvarme)^Tidstabel[[#This Row],[År]]))),BlankTegn)</f>
        <v>.</v>
      </c>
      <c r="AU21" s="262" t="str">
        <f>IFERROR(IF(Tidstabel[[#This Row],[År]]&gt;Input_Tidshorisont,BlankTegn,
IF(Tidstabel[[#This Row],[År]]=0,Tidstabel[[#This Row],[KF_Forsyning]],AU20+Tidstabel[[#This Row],[KF_Forsyning]])),BlankTegn)</f>
        <v>.</v>
      </c>
      <c r="AV21" s="245">
        <f>IFERROR(IF(Tidstabel[[#This Row],[År]]&gt;Input_Tidshorisont,BlankTegn,
IF(Tidstabel[[#This Row],[År]]=0,-FB_Enhedspris,0)),BlankTegn)</f>
        <v>0</v>
      </c>
      <c r="AW21" s="245" t="str">
        <f>IFERROR(IF(Tidstabel[[#This Row],[År]]&gt;Input_Tidshorisont,BlankTegn,
IF(Tidstabel[[#This Row],[År]]=0,FB_Enhedspris/FB_Levetid,AW20*((1+Tidstabel[[#This Row],[Kalkulationsrente]])^-1)*((1+PrisudviklingGenerelt)^1))),BlankTegn)</f>
        <v>.</v>
      </c>
      <c r="AX21" s="178" t="str">
        <f ca="1">IFERROR(IF(Tidstabel[[#This Row],[År]]&gt;Input_Tidshorisont,BlankTegn,
IF(FB_Vedligehold_i=1,IF(Tidstabel[[#This Row],[FB_Uds?]]=0,1,0),IF(MAX(AX20:OFFSET(AY20,2-FB_Vedligehold_i,0),Tidstabel[[#This Row],[FB_Uds?]])=0,1,0))),BlankTegn)</f>
        <v>.</v>
      </c>
      <c r="AY21" s="178" t="str">
        <f>IFERROR(IF(Tidstabel[[#This Row],[År]]&gt;Input_Tidshorisont,BlankTegn,
IF(Tidstabel[[#This Row],[År]]=0,1,IF(MOD(Tidstabel[[#This Row],[År]],FB_Levetid)=0,1,IF(Tidstabel[[#This Row],[År]]=Input_Tidshorisont,0,0)))),BlankTegn)</f>
        <v>.</v>
      </c>
      <c r="AZ21" s="245" t="str">
        <f ca="1">IFERROR(IF(Tidstabel[[#This Row],[År]]&gt;Input_Tidshorisont,BlankTegn,
FB_Vedligehold_p*-FB_Enhedspris*Tidstabel[[#This Row],[FB_Ved?]]*((1+Tidstabel[[#This Row],[Kalkulationsrente]])^-Tidstabel[[#This Row],[År]])*((1+PrisudviklingGenerelt)^Tidstabel[[#This Row],[År]])),BlankTegn)</f>
        <v>.</v>
      </c>
      <c r="BA21" s="245" t="str">
        <f>IFERROR(IF(Tidstabel[[#This Row],[År]]&gt;Input_Tidshorisont,BlankTegn,
IF(Tidstabel[[#This Row],[År]]=0,FB_Enhedspris,SUM(BA20:BB20)*((1+Tidstabel[[#This Row],[Kalkulationsrente]])^-1)*((1+PrisudviklingGenerelt)^1)-Tidstabel[[#This Row],[FB_Afskrivning]])),BlankTegn)</f>
        <v>.</v>
      </c>
      <c r="BB21" s="245" t="str">
        <f>IFERROR(IF(Tidstabel[[#This Row],[År]]&gt;Input_Tidshorisont,BlankTegn,
IF(Tidstabel[[#This Row],[År]]=0,0,Tidstabel[[#This Row],[FB_Uds?]]*FB_Enhedspris*((1+Tidstabel[[#This Row],[Kalkulationsrente]])^-Tidstabel[[#This Row],[År]])*((1+PrisudviklingGenerelt)^Tidstabel[[#This Row],[År]]))),BlankTegn)</f>
        <v>.</v>
      </c>
      <c r="BC21" s="262" t="str">
        <f>IFERROR(IF(Tidstabel[[#This Row],[År]]&gt;Input_Tidshorisont,BlankTegn,
IF(Tidstabel[[#This Row],[År]]=0,0,Tidstabel[[#This Row],[FB_Uds?]]*-FB_Enhedspris*FB_Genoprettelse*((1+Tidstabel[[#This Row],[Kalkulationsrente]])^-Tidstabel[[#This Row],[År]])*((1+PrisudviklingGenerelt)^Tidstabel[[#This Row],[År]]))),BlankTegn)</f>
        <v>.</v>
      </c>
      <c r="BD21" s="245">
        <f>IFERROR(IF(Tidstabel[[#This Row],[År]]&gt;Input_Tidshorisont,BlankTegn,
IF(Tidstabel[[#This Row],[År]]=0,-VS_Enhedspris,0)),BlankTegn)</f>
        <v>0</v>
      </c>
      <c r="BE21" s="245" t="str">
        <f>IFERROR(IF(Tidstabel[[#This Row],[År]]&gt;Input_Tidshorisont,BlankTegn,
IF(Tidstabel[[#This Row],[År]]=0,VS_Enhedspris/VS_Levetid,BE20*((1+Tidstabel[[#This Row],[Kalkulationsrente]])^-1)*((1+PrisudviklingGenerelt)^1))),BlankTegn)</f>
        <v>.</v>
      </c>
      <c r="BF21" s="178" t="str">
        <f ca="1">IFERROR(IF(Tidstabel[[#This Row],[År]]&gt;Input_Tidshorisont,BlankTegn,
IF(VS_Vedligehold_i=1,IF(Tidstabel[[#This Row],[VS_Uds?]]=0,1,0),IF(MAX(BF20:OFFSET(BG20,2-VS_Vedligehold_i,0),Tidstabel[[#This Row],[VS_Uds?]])=0,1,0))),BlankTegn)</f>
        <v>.</v>
      </c>
      <c r="BG21" s="178" t="str">
        <f>IFERROR(IF(Tidstabel[[#This Row],[År]]&gt;Input_Tidshorisont,BlankTegn,
IF(Tidstabel[[#This Row],[År]]=0,1,IF(MOD(Tidstabel[[#This Row],[År]],VS_Levetid)=0,1,IF(Tidstabel[[#This Row],[År]]=Input_Tidshorisont,0,0)))),BlankTegn)</f>
        <v>.</v>
      </c>
      <c r="BH21" s="245" t="str">
        <f ca="1">IFERROR(IF(Tidstabel[[#This Row],[År]]&gt;Input_Tidshorisont,BlankTegn,
VS_Vedligehold_p*-VS_Enhedspris*Tidstabel[[#This Row],[VS_Ved?]]*((1+Tidstabel[[#This Row],[Kalkulationsrente]])^-Tidstabel[[#This Row],[År]])*((1+PrisudviklingGenerelt)^Tidstabel[[#This Row],[År]])),BlankTegn)</f>
        <v>.</v>
      </c>
      <c r="BI21" s="245" t="str">
        <f>IFERROR(IF(Tidstabel[[#This Row],[År]]&gt;Input_Tidshorisont,BlankTegn,
IF(Tidstabel[[#This Row],[År]]=0,VS_Enhedspris,SUM(BI20:BJ20)*((1+Tidstabel[[#This Row],[Kalkulationsrente]])^-1)*((1+PrisudviklingGenerelt)^1)-Tidstabel[[#This Row],[VS_Afskrivning]])),BlankTegn)</f>
        <v>.</v>
      </c>
      <c r="BJ21" s="245" t="str">
        <f>IFERROR(IF(Tidstabel[[#This Row],[År]]&gt;Input_Tidshorisont,BlankTegn,
IF(Tidstabel[[#This Row],[År]]=0,0,Tidstabel[[#This Row],[VS_Uds?]]*VS_Enhedspris*((1+Tidstabel[[#This Row],[Kalkulationsrente]])^-Tidstabel[[#This Row],[År]])*((1+PrisudviklingGenerelt)^Tidstabel[[#This Row],[År]]))),BlankTegn)</f>
        <v>.</v>
      </c>
      <c r="BK21" s="262" t="str">
        <f>IFERROR(IF(Tidstabel[[#This Row],[År]]&gt;Input_Tidshorisont,BlankTegn,
IF(Tidstabel[[#This Row],[År]]=0,0,Tidstabel[[#This Row],[VS_Uds?]]*-VS_Enhedspris*VS_Genoprettelse*((1+Tidstabel[[#This Row],[Kalkulationsrente]])^-Tidstabel[[#This Row],[År]])*((1+PrisudviklingGenerelt)^Tidstabel[[#This Row],[År]]))),BlankTegn)</f>
        <v>.</v>
      </c>
      <c r="BL21" s="245">
        <f>IFERROR(IF(Tidstabel[[#This Row],[År]]&gt;Input_Tidshorisont,BlankTegn,
IF(Tidstabel[[#This Row],[År]]=0,-EI_Enhedspris,0)),BlankTegn)</f>
        <v>0</v>
      </c>
      <c r="BM21" s="245" t="str">
        <f>IFERROR(IF(Tidstabel[[#This Row],[År]]&gt;Input_Tidshorisont,BlankTegn,
IF(Tidstabel[[#This Row],[År]]=0,EI_Enhedspris/EI_Levetid,BM20*((1+Tidstabel[[#This Row],[Kalkulationsrente]])^-1)*((1+PrisudviklingGenerelt)^1))),BlankTegn)</f>
        <v>.</v>
      </c>
      <c r="BN21" s="178" t="str">
        <f ca="1">IFERROR(IF(Tidstabel[[#This Row],[År]]&gt;Input_Tidshorisont,BlankTegn,
IF(EI_Vedligehold_i=1,IF(Tidstabel[[#This Row],[EI_Uds?]]=0,1,0),IF(MAX(BN20:OFFSET(BO20,2-EI_Vedligehold_i,0),Tidstabel[[#This Row],[EI_Uds?]])=0,1,0))),BlankTegn)</f>
        <v>.</v>
      </c>
      <c r="BO21" s="178" t="str">
        <f>IFERROR(IF(Tidstabel[[#This Row],[År]]&gt;Input_Tidshorisont,BlankTegn,
IF(Tidstabel[[#This Row],[År]]=0,1,IF(MOD(Tidstabel[[#This Row],[År]],EI_Levetid)=0,1,IF(Tidstabel[[#This Row],[År]]=Input_Tidshorisont,0,0)))),BlankTegn)</f>
        <v>.</v>
      </c>
      <c r="BP21" s="245" t="str">
        <f ca="1">IFERROR(IF(Tidstabel[[#This Row],[År]]&gt;Input_Tidshorisont,BlankTegn,
EI_Vedligehold_p*-EI_Enhedspris*Tidstabel[[#This Row],[EI_Ved?]]*((1+Tidstabel[[#This Row],[Kalkulationsrente]])^-Tidstabel[[#This Row],[År]])*((1+PrisudviklingGenerelt)^Tidstabel[[#This Row],[År]])),BlankTegn)</f>
        <v>.</v>
      </c>
      <c r="BQ21" s="245" t="str">
        <f>IFERROR(IF(Tidstabel[[#This Row],[År]]&gt;Input_Tidshorisont,BlankTegn,
IF(Tidstabel[[#This Row],[År]]=0,EI_Enhedspris,SUM(BQ20:BR20)*((1+Tidstabel[[#This Row],[Kalkulationsrente]])^-1)*((1+PrisudviklingGenerelt)^1)-Tidstabel[[#This Row],[EI_Afskrivning]])),BlankTegn)</f>
        <v>.</v>
      </c>
      <c r="BR21" s="245" t="str">
        <f>IFERROR(IF(Tidstabel[[#This Row],[År]]&gt;Input_Tidshorisont,BlankTegn,
IF(Tidstabel[[#This Row],[År]]=0,0,Tidstabel[[#This Row],[EI_Uds?]]*EI_Enhedspris*((1+Tidstabel[[#This Row],[Kalkulationsrente]])^-Tidstabel[[#This Row],[År]])*((1+PrisudviklingGenerelt)^Tidstabel[[#This Row],[År]]))),BlankTegn)</f>
        <v>.</v>
      </c>
      <c r="BS21" s="262" t="str">
        <f>IFERROR(IF(Tidstabel[[#This Row],[År]]&gt;Input_Tidshorisont,BlankTegn,
IF(Tidstabel[[#This Row],[År]]=0,0,Tidstabel[[#This Row],[EI_Uds?]]*-EI_Enhedspris*EI_Genoprettelse*((1+Tidstabel[[#This Row],[Kalkulationsrente]])^-Tidstabel[[#This Row],[År]])*((1+PrisudviklingGenerelt)^Tidstabel[[#This Row],[År]]))),BlankTegn)</f>
        <v>.</v>
      </c>
      <c r="BT21" s="245">
        <f>IFERROR(IF(Tidstabel[[#This Row],[År]]&gt;Input_Tidshorisont,BlankTegn,
IF(Tidstabel[[#This Row],[År]]=0,-AP_Enhedspris,0)),BlankTegn)</f>
        <v>0</v>
      </c>
      <c r="BU21" s="245" t="str">
        <f>IFERROR(IF(Tidstabel[[#This Row],[År]]&gt;Input_Tidshorisont,BlankTegn,
IF(Tidstabel[[#This Row],[År]]=0,AP_Enhedspris/AP_Levetid,BU20*((1+Tidstabel[[#This Row],[Kalkulationsrente]])^-1)*((1+PrisudviklingGenerelt)^1))),BlankTegn)</f>
        <v>.</v>
      </c>
      <c r="BV21" s="178" t="str">
        <f ca="1">IFERROR(IF(Tidstabel[[#This Row],[År]]&gt;Input_Tidshorisont,BlankTegn,
IF(AP_Vedligehold_i=1,IF(Tidstabel[[#This Row],[AP_Uds?]]=0,1,0),IF(MAX(BV20:OFFSET(BW20,2-AP_Vedligehold_i,0),Tidstabel[[#This Row],[AP_Uds?]])=0,1,0))),BlankTegn)</f>
        <v>.</v>
      </c>
      <c r="BW21" s="178" t="str">
        <f>IFERROR(IF(Tidstabel[[#This Row],[År]]&gt;Input_Tidshorisont,BlankTegn,
IF(Tidstabel[[#This Row],[År]]=0,1,IF(MOD(Tidstabel[[#This Row],[År]],AP_Levetid)=0,1,IF(Tidstabel[[#This Row],[År]]=Input_Tidshorisont,0,0)))),BlankTegn)</f>
        <v>.</v>
      </c>
      <c r="BX21" s="245" t="str">
        <f ca="1">IFERROR(IF(Tidstabel[[#This Row],[År]]&gt;Input_Tidshorisont,BlankTegn,
AP_Vedligehold_p*-AP_Enhedspris*Tidstabel[[#This Row],[AP_Ved?]]*((1+Tidstabel[[#This Row],[Kalkulationsrente]])^-Tidstabel[[#This Row],[År]])*((1+PrisudviklingGenerelt)^Tidstabel[[#This Row],[År]])),BlankTegn)</f>
        <v>.</v>
      </c>
      <c r="BY21" s="245" t="str">
        <f>IFERROR(IF(Tidstabel[[#This Row],[År]]&gt;Input_Tidshorisont,BlankTegn,
IF(Tidstabel[[#This Row],[År]]=0,AP_Enhedspris,SUM(BY20:BZ20)*((1+Tidstabel[[#This Row],[Kalkulationsrente]])^-1)*((1+PrisudviklingGenerelt)^1)-Tidstabel[[#This Row],[AP_Afskrivning]])),BlankTegn)</f>
        <v>.</v>
      </c>
      <c r="BZ21" s="245" t="str">
        <f>IFERROR(IF(Tidstabel[[#This Row],[År]]&gt;Input_Tidshorisont,BlankTegn,
IF(Tidstabel[[#This Row],[År]]=0,0,Tidstabel[[#This Row],[AP_Uds?]]*AP_Enhedspris*((1+Tidstabel[[#This Row],[Kalkulationsrente]])^-Tidstabel[[#This Row],[År]])*((1+PrisudviklingGenerelt)^Tidstabel[[#This Row],[År]]))),BlankTegn)</f>
        <v>.</v>
      </c>
      <c r="CA21" s="262" t="str">
        <f>IFERROR(IF(Tidstabel[[#This Row],[År]]&gt;Input_Tidshorisont,BlankTegn,
IF(Tidstabel[[#This Row],[År]]=0,0,Tidstabel[[#This Row],[AP_Uds?]]*-AP_Enhedspris*AP_Genoprettelse*((1+Tidstabel[[#This Row],[Kalkulationsrente]])^-Tidstabel[[#This Row],[År]])*((1+PrisudviklingGenerelt)^Tidstabel[[#This Row],[År]]))),BlankTegn)</f>
        <v>.</v>
      </c>
      <c r="CB21" s="245">
        <f>IFERROR(IF(Tidstabel[[#This Row],[År]]&gt;Input_Tidshorisont,BlankTegn,
IF(Tidstabel[[#This Row],[År]]=0,-SK_Enhedspris,0)),BlankTegn)</f>
        <v>0</v>
      </c>
      <c r="CC21" s="245" t="str">
        <f>IFERROR(IF(Tidstabel[[#This Row],[År]]&gt;Input_Tidshorisont,BlankTegn,
IF(Tidstabel[[#This Row],[År]]=0,SK_Enhedspris/SK_Levetid,CC20*((1+Tidstabel[[#This Row],[Kalkulationsrente]])^-1)*((1+PrisudviklingGenerelt)^1))),BlankTegn)</f>
        <v>.</v>
      </c>
      <c r="CD21" s="178" t="str">
        <f ca="1">IFERROR(IF(Tidstabel[[#This Row],[År]]&gt;Input_Tidshorisont,BlankTegn,
IF(SK_Vedligehold_i=1,IF(Tidstabel[[#This Row],[SK_Uds?]]=0,1,0),IF(MAX(CD20:OFFSET(CE20,2-SK_Vedligehold_i,0),Tidstabel[[#This Row],[SK_Uds?]])=0,1,0))),BlankTegn)</f>
        <v>.</v>
      </c>
      <c r="CE21" s="178" t="str">
        <f>IFERROR(IF(Tidstabel[[#This Row],[År]]&gt;Input_Tidshorisont,BlankTegn,
IF(Tidstabel[[#This Row],[År]]=0,1,IF(MOD(Tidstabel[[#This Row],[År]],SK_Levetid)=0,1,IF(Tidstabel[[#This Row],[År]]=Input_Tidshorisont,0,0)))),BlankTegn)</f>
        <v>.</v>
      </c>
      <c r="CF21" s="245" t="str">
        <f ca="1">IFERROR(IF(Tidstabel[[#This Row],[År]]&gt;Input_Tidshorisont,BlankTegn,
SK_Vedligehold_p*-SK_Enhedspris*Tidstabel[[#This Row],[SK_Ved?]]*((1+Tidstabel[[#This Row],[Kalkulationsrente]])^-Tidstabel[[#This Row],[År]])*((1+PrisudviklingGenerelt)^Tidstabel[[#This Row],[År]])),BlankTegn)</f>
        <v>.</v>
      </c>
      <c r="CG21" s="245" t="str">
        <f>IFERROR(IF(Tidstabel[[#This Row],[År]]&gt;Input_Tidshorisont,BlankTegn,
IF(Tidstabel[[#This Row],[År]]=0,SK_Enhedspris,SUM(CG20:CH20)*((1+Tidstabel[[#This Row],[Kalkulationsrente]])^-1)*((1+PrisudviklingGenerelt)^1)-Tidstabel[[#This Row],[SK_Afskrivning]])),BlankTegn)</f>
        <v>.</v>
      </c>
      <c r="CH21" s="245" t="str">
        <f>IFERROR(IF(Tidstabel[[#This Row],[År]]&gt;Input_Tidshorisont,BlankTegn,
IF(Tidstabel[[#This Row],[År]]=0,0,Tidstabel[[#This Row],[SK_Uds?]]*SK_Enhedspris*((1+Tidstabel[[#This Row],[Kalkulationsrente]])^-Tidstabel[[#This Row],[År]])*((1+PrisudviklingGenerelt)^Tidstabel[[#This Row],[År]]))),BlankTegn)</f>
        <v>.</v>
      </c>
      <c r="CI21" s="262" t="str">
        <f>IFERROR(IF(Tidstabel[[#This Row],[År]]&gt;Input_Tidshorisont,BlankTegn,
IF(Tidstabel[[#This Row],[År]]=0,0,Tidstabel[[#This Row],[SK_Uds?]]*-SK_Enhedspris*SK_Genoprettelse*((1+Tidstabel[[#This Row],[Kalkulationsrente]])^-Tidstabel[[#This Row],[År]])*((1+PrisudviklingGenerelt)^Tidstabel[[#This Row],[År]]))),BlankTegn)</f>
        <v>.</v>
      </c>
      <c r="CJ21" s="19"/>
    </row>
    <row r="22" spans="1:88">
      <c r="A22" s="250">
        <v>15</v>
      </c>
      <c r="B22" s="250">
        <f>Input_Etableringsår+Tidstabel[[#This Row],[År]]</f>
        <v>2039</v>
      </c>
      <c r="C22" s="274" cm="1">
        <f t="array" ref="C22">_xlfn.IFS(Tidstabel[[#This Row],[År]]&gt;KR_Trin3_Tærskel,KR_Trin3_Rente,Tidstabel[[#This Row],[År]]&gt;KR_Trin2_Tærskel,KR_Trin2_Rente,Tidstabel[[#This Row],[År]]&gt;KR_Trin1_Tærskel,KR_Trin1_Rente,Tidstabel[[#This Row],[År]]&gt;KR_Trin0_Tærskel,KR_Trin0_Rente)</f>
        <v>3.5000000000000003E-2</v>
      </c>
      <c r="D22" s="142" t="str" cm="1">
        <f t="array" ref="D22">IFERROR(
INDEX(Range_Materiale_ÅrligeEmissioner,MATCH(1,(Materialedata[Komponent]=FB_Titel)*(Materialedata[Materiale]=FB_Materiale),0),MATCH(Tidstabel[[#This Row],[År]],Range_Materiale_År,0)),BlankTegn)</f>
        <v>.</v>
      </c>
      <c r="E22" s="142" t="str" cm="1">
        <f t="array" ref="E22">IFERROR(
INDEX(Range_Materiale_ÅrligeEmissioner,MATCH(1,(Materialedata[Komponent]=SK_Titel)*(Materialedata[Materiale]=SK_Materiale),0),MATCH(Tidstabel[[#This Row],[År]],Range_Materiale_År,0)),BlankTegn)</f>
        <v>.</v>
      </c>
      <c r="F22" s="142" t="str" cm="1">
        <f t="array" ref="F22">IFERROR(
INDEX(Range_Materiale_ÅrligeEmissioner,MATCH(1,(Materialedata[Komponent]=EI_Titel)*(Materialedata[Materiale]=EI_Materiale),0),MATCH(Tidstabel[[#This Row],[År]],Range_Materiale_År,0)),BlankTegn)</f>
        <v>.</v>
      </c>
      <c r="G22" s="142" t="str" cm="1">
        <f t="array" ref="G22">IFERROR(
INDEX(Range_Materiale_ÅrligeEmissioner,MATCH(1,(Materialedata[Komponent]=AP_Titel)*(Materialedata[Materiale]=AP_Materiale),0),MATCH(Tidstabel[[#This Row],[År]],Range_Materiale_År,0)),BlankTegn)</f>
        <v>.</v>
      </c>
      <c r="H22" s="142" t="str" cm="1">
        <f t="array" ref="H22">IFERROR(
INDEX(Range_Materiale_ÅrligeEmissioner,MATCH(1,(Materialedata[Komponent]=VS_Titel)*(Materialedata[Materiale]=VS_Materiale),0),MATCH(Tidstabel[[#This Row],[År]],Range_Materiale_År,0)),BlankTegn)</f>
        <v>.</v>
      </c>
      <c r="I22" s="142" t="str">
        <f>IFERROR(
IF(SUM(Tidstabel[[#This Row],[Facadebeklædning]:[Vindspærre]])=0,BlankTegn,
SUM(Tidstabel[[#This Row],[Facadebeklædning]:[Vindspærre]])),BlankTegn)</f>
        <v>.</v>
      </c>
      <c r="J22" s="139">
        <f>IF(Tidstabel[[#This Row],[År]]&gt;Input_Tidshorisont,BlankTegn,
A5_ElVarmeBrændstofByggeplads)</f>
        <v>0.25</v>
      </c>
      <c r="K22" s="142" t="str">
        <f>IFERROR(IF(Tidstabel[[#This Row],[År]]&gt;Input_Tidshorisont,BlankTegn,
-1*INDEX(Range_Energi_ÅrligBesparelse,MATCH(Input_EksisterendeFacade,Energiberegning[Ydervæg],0),MATCH(Tidstabel[[#This Row],[Årstal]],Range_Energi_Årstal,0))),BlankTegn)</f>
        <v>.</v>
      </c>
      <c r="L22" s="142">
        <f>IF(Tidstabel[[#This Row],[År]]&gt;Input_Tidshorisont,BlankTegn,
(Tidstabel[[#This Row],[År]]+1)*(SUM(Vedligeholdelsesmaterialer[Facadefarve],Vedligeholdelsesmaterialer[Grunder og mellemmaling])/12+SUM(Vedligeholdelsesmaterialer[Puds])/30))</f>
        <v>5.197668573333333</v>
      </c>
      <c r="M22" s="142" t="str">
        <f>IFERROR(IF(Tidstabel[[#This Row],[År]]&gt;Input_Tidshorisont,BlankTegn,
Tidstabel[[#This Row],[Materialer_Total]]+Tidstabel[[#This Row],[Byggeprocess]]),BlankTegn)</f>
        <v>.</v>
      </c>
      <c r="N22" s="142" t="str">
        <f>IFERROR(IF(Tidstabel[[#This Row],[År]]&gt;Input_Tidshorisont,BlankTegn,
Tidstabel[[#This Row],[Energibesparelse]]+Tidstabel[[#This Row],[Emission_Brutto]]),BlankTegn)</f>
        <v>.</v>
      </c>
      <c r="O22" s="142" t="str">
        <f>IFERROR(IF(Tidstabel[[#This Row],[År]]&gt;Input_Tidshorisont,BlankTegn,
Tidstabel[[#This Row],[Emission_Netto]]-Tidstabel[[#This Row],[Vedligehold_EksisterendeFacade]]),BlankTegn)</f>
        <v>.</v>
      </c>
      <c r="P22" s="271" t="str">
        <f>IFERROR(IF(Tidstabel[[#This Row],[År]]&gt;Input_Tidshorisont,BlankTegn,
IF(AND(Tidstabel[[#This Row],[Emission_Netto]]-Tidstabel[[#This Row],[Vedligehold_EksisterendeFacade]]&gt;0,N23-L23&lt;0),-1,IF(AND(Tidstabel[[#This Row],[Emission_Netto]]-Tidstabel[[#This Row],[Vedligehold_EksisterendeFacade]]&lt;0,N23-L23&gt;0),1,0))),BlankTegn)</f>
        <v>.</v>
      </c>
      <c r="Q22" s="174" t="str">
        <f>IF(Tidstabel[[#This Row],[År]]&gt;Input_Tidshorisont,BlankTegn,
IF(Tidstabel[[#This Row],[LCA-Skæring]]=-1,SUM(Tidstabel[[#This Row],[År]]*(1-ABS(Tidstabel[[#This Row],[LCA-Difference]])/(ABS(Tidstabel[[#This Row],[LCA-Difference]])+ABS(O23))),A23*(1-ABS(O23)/(ABS(Tidstabel[[#This Row],[LCA-Difference]])+ABS(O23)))),"-"))</f>
        <v>-</v>
      </c>
      <c r="R22" s="174" t="str">
        <f>IF(Tidstabel[[#This Row],[År]]&gt;Input_Tidshorisont,BlankTegn,
IF(Tidstabel[[#This Row],[LCA-Skæring]]=-1,SUM(Tidstabel[[#This Row],[Emission_Netto]]*(1-ABS(Tidstabel[[#This Row],[LCA-Difference]])/(ABS(Tidstabel[[#This Row],[LCA-Difference]])+ABS(O23))),N23*(1-ABS(O23)/(ABS(Tidstabel[[#This Row],[LCA-Difference]])+ABS(O23)))),"-"))</f>
        <v>-</v>
      </c>
      <c r="S22" s="174" t="str">
        <f>IF(Tidstabel[[#This Row],[År]]&gt;Input_Tidshorisont,BlankTegn,
IF(Tidstabel[[#This Row],[LCA-Skæring]]=1,SUM(Tidstabel[[#This Row],[År]]*(1-ABS(Tidstabel[[#This Row],[LCA-Difference]])/(ABS(Tidstabel[[#This Row],[LCA-Difference]])+ABS(O23))),A23*(1-ABS(O23)/(ABS(Tidstabel[[#This Row],[LCA-Difference]])+ABS(O23)))),"-"))</f>
        <v>-</v>
      </c>
      <c r="T22" s="264" t="str">
        <f>IF(Tidstabel[[#This Row],[År]]&gt;Input_Tidshorisont,BlankTegn,
IF(Tidstabel[[#This Row],[LCA-Skæring]]=1,SUM(Tidstabel[[#This Row],[Emission_Netto]]*(1-ABS(Tidstabel[[#This Row],[LCA-Difference]])/(ABS(Tidstabel[[#This Row],[LCA-Difference]])+ABS(O23))),N23*(1-ABS(O23)/(ABS(Tidstabel[[#This Row],[LCA-Difference]])+ABS(O23)))),"-"))</f>
        <v>-</v>
      </c>
      <c r="U22" s="142" t="str">
        <f ca="1">IFERROR(IF(Tidstabel[[#This Row],[År]]&gt;Input_Tidshorisont,BlankTegn,
Tidstabel[[#This Row],[NPV_Klimafacade]]-Tidstabel[[#This Row],[NPV_Eksisterende]]),BlankTegn)</f>
        <v>.</v>
      </c>
      <c r="V22" s="271" t="str">
        <f ca="1">IFERROR(IF(Tidstabel[[#This Row],[År]]&gt;Input_Tidshorisont,BlankTegn,
IF(AND(Tidstabel[[#This Row],[NPV_Klimafacade]]-Tidstabel[[#This Row],[NPV_Eksisterende]]&gt;0,AB23-AA23&lt;0),1,IF(AND(Tidstabel[[#This Row],[NPV_Klimafacade]]-Tidstabel[[#This Row],[NPV_Eksisterende]]&lt;0,AB23-AA23&gt;0),-1,0))),BlankTegn)</f>
        <v>.</v>
      </c>
      <c r="W22" s="174" t="str">
        <f ca="1">IF(Tidstabel[[#This Row],[År]]&gt;Input_Tidshorisont,BlankTegn,
IF(Tidstabel[[#This Row],[LCC-Skæring]]=-1,SUM(Tidstabel[[#This Row],[År]]*(1-ABS(Tidstabel[[#This Row],[LCC-Difference]])/(ABS(Tidstabel[[#This Row],[LCC-Difference]])+ABS(U23))),A23*(1-ABS(U23)/(ABS(Tidstabel[[#This Row],[LCC-Difference]])+ABS(U23)))),"-"))</f>
        <v>-</v>
      </c>
      <c r="X22" s="174" t="str">
        <f ca="1">IF(Tidstabel[[#This Row],[År]]&gt;Input_Tidshorisont,BlankTegn,
IF(Tidstabel[[#This Row],[LCC-Skæring]]=-1,SUM(Tidstabel[[#This Row],[NPV_Klimafacade]]*(1-ABS(Tidstabel[[#This Row],[LCC-Difference]])/(ABS(Tidstabel[[#This Row],[LCC-Difference]])+ABS(U23))),AB23*(1-ABS(U23)/(ABS(Tidstabel[[#This Row],[LCC-Difference]])+ABS(U23)))),"-"))</f>
        <v>-</v>
      </c>
      <c r="Y22" s="174" t="str">
        <f ca="1">IF(Tidstabel[[#This Row],[År]]&gt;Input_Tidshorisont,BlankTegn,
IF(Tidstabel[[#This Row],[LCC-Skæring]]=1,SUM(Tidstabel[[#This Row],[År]]*(1-ABS(Tidstabel[[#This Row],[LCC-Difference]])/(ABS(Tidstabel[[#This Row],[LCC-Difference]])+ABS(U23))),A23*(1-ABS(U23)/(ABS(Tidstabel[[#This Row],[LCC-Difference]])+ABS(U23)))),"-"))</f>
        <v>-</v>
      </c>
      <c r="Z22" s="264" t="str">
        <f ca="1">IF(Tidstabel[[#This Row],[År]]&gt;Input_Tidshorisont,BlankTegn,
IF(Tidstabel[[#This Row],[LCC-Skæring]]=1,SUM(Tidstabel[[#This Row],[NPV_Klimafacade]]*(1-ABS(Tidstabel[[#This Row],[LCC-Difference]])/(ABS(Tidstabel[[#This Row],[LCC-Difference]])+ABS(U23))),AB23*(1-ABS(U23)/(ABS(Tidstabel[[#This Row],[LCC-Difference]])+ABS(U23)))),"-"))</f>
        <v>-</v>
      </c>
      <c r="AA22" s="142">
        <f ca="1">IF(Tidstabel[[#This Row],[År]]&gt;Input_Tidshorisont,BlankTegn,
Tidstabel[[#This Row],[EF_Vedligehold_Aggregeret]])</f>
        <v>-133.28893974474443</v>
      </c>
      <c r="AB22"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22" s="142" t="str">
        <f>IFERROR(IF(Tidstabel[[#This Row],[År]]&gt;Input_Tidshorisont,BlankTegn,
Tidstabel[[#This Row],[KF_Anskaffelse_Aggregeret]]+Tidstabel[[#This Row],[KF_Engangsudgifter_Aggregeret]]),BlankTegn)</f>
        <v>.</v>
      </c>
      <c r="AD22" s="174">
        <f ca="1">IFERROR(IF(Tidstabel[[#This Row],[År]]&gt;Input_Tidshorisont,BlankTegn,
IF(Tidstabel[[#This Row],[År]]=0,0,Tidstabel[[#This Row],[NPV_Eksisterende]]*(Tidstabel[[#This Row],[Kalkulationsrente]]/(1-(1+Tidstabel[[#This Row],[Kalkulationsrente]])^-Tidstabel[[#This Row],[År]])))),BlankTegn)</f>
        <v>-11.572821439062443</v>
      </c>
      <c r="AE22" s="264" t="str">
        <f ca="1">IFERROR(IF(Tidstabel[[#This Row],[År]]&gt;Input_Tidshorisont,BlankTegn,
IF(Tidstabel[[#This Row],[År]]=0,0,Tidstabel[[#This Row],[NPV_Klimafacade]]*(Tidstabel[[#This Row],[Kalkulationsrente]]/(1-(1+Tidstabel[[#This Row],[Kalkulationsrente]])^-Tidstabel[[#This Row],[År]])))),BlankTegn)</f>
        <v>.</v>
      </c>
      <c r="AF22" s="270">
        <f ca="1">IF(Tidstabel[[#This Row],[År]]&gt;Input_Tidshorisont,BlankTegn,
IF(EF_Vedligehold_i=1,IF(Tidstabel[[#This Row],[EF_Uds?]]=0,1,0),IF(MAX(AF21:OFFSET(AG21,2-EF_Vedligehold_i,0),Tidstabel[[#This Row],[EF_Uds?]])=0,1,0)))</f>
        <v>1</v>
      </c>
      <c r="AG22" s="181">
        <f>IF(Tidstabel[[#This Row],[År]]&gt;Input_Tidshorisont,BlankTegn,0)</f>
        <v>0</v>
      </c>
      <c r="AH22" s="263">
        <f ca="1">IF(Tidstabel[[#This Row],[År]]&gt;Input_Tidshorisont,BlankTegn,
Tidstabel[[#This Row],[EF_Ved?]]*EF_Vedligehold_p*-EF_Enhedspris*((1+Tidstabel[[#This Row],[Kalkulationsrente]])^-Tidstabel[[#This Row],[År]])*((1+PrisudviklingGenerelt)^Tidstabel[[#This Row],[År]]))</f>
        <v>-6.3558605176689351</v>
      </c>
      <c r="AI22" s="262">
        <f ca="1">IF(Tidstabel[[#This Row],[År]]&gt;Input_Tidshorisont,BlankTegn,
IF(Tidstabel[[#This Row],[År]]=0,Tidstabel[[#This Row],[EF_Vedligehold]],AI21+Tidstabel[[#This Row],[EF_Vedligehold]]))</f>
        <v>-133.28893974474443</v>
      </c>
      <c r="AJ22" s="245">
        <f>IFERROR(IF(Tidstabel[[#This Row],[År]]&gt;Input_Tidshorisont,BlankTegn,
Tidstabel[[#This Row],[FB_Anskaffelse]]+Tidstabel[[#This Row],[VS_Anskaffelse]]+Tidstabel[[#This Row],[EI_Anskaffelse]]+Tidstabel[[#This Row],[AP_Anskaffelse]]+Tidstabel[[#This Row],[SK_Anskaffelse]]),BlankTegn)</f>
        <v>0</v>
      </c>
      <c r="AK22" s="245" t="str">
        <f>IFERROR(IF(Tidstabel[[#This Row],[År]]&gt;Input_Tidshorisont,BlankTegn,
IF(Tidstabel[[#This Row],[År]]=0,Tidstabel[[#This Row],[KF_Anskaffelse]],AK21+Tidstabel[[#This Row],[KF_Anskaffelse]])),BlankTegn)</f>
        <v>.</v>
      </c>
      <c r="AL22" s="246" t="str">
        <f ca="1">IFERROR(IF(Tidstabel[[#This Row],[År]]&gt;Input_Tidshorisont,BlankTegn,
Tidstabel[[#This Row],[FB_Vedligehold]]+Tidstabel[[#This Row],[VS_Vedligehold]]+Tidstabel[[#This Row],[EI_Vedligehold]]+Tidstabel[[#This Row],[AP_Vedligehold]]+Tidstabel[[#This Row],[SK_Vedligehold]]),BlankTegn)</f>
        <v>.</v>
      </c>
      <c r="AM22" s="245" t="str">
        <f ca="1">IFERROR(IF(Tidstabel[[#This Row],[År]]&gt;Input_Tidshorisont,BlankTegn,
IF(Tidstabel[[#This Row],[År]]=0,Tidstabel[[#This Row],[KF_Vedligehold]],AM21+Tidstabel[[#This Row],[KF_Vedligehold]])),BlankTegn)</f>
        <v>.</v>
      </c>
      <c r="AN22"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22"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22" s="245" t="str">
        <f>IFERROR(IF(Tidstabel[[#This Row],[År]]&gt;Input_Tidshorisont,BlankTegn,
IF(Tidstabel[[#This Row],[År]]=0,Tidstabel[[#This Row],[KF_Udskiftning_Komponent]],AP21+Tidstabel[[#This Row],[KF_Udskiftning_Komponent]])),BlankTegn)</f>
        <v>.</v>
      </c>
      <c r="AQ22" s="245">
        <f>IF(Tidstabel[[#This Row],[År]]&gt;Input_Tidshorisont,BlankTegn,
IF(Tidstabel[[#This Row],[År]]=0,-SUM(Engangsudgifter[Udgift]),0))</f>
        <v>0</v>
      </c>
      <c r="AR22" s="245">
        <f>IFERROR(IF(Tidstabel[[#This Row],[År]]&gt;Input_Tidshorisont,BlankTegn,
IF(Tidstabel[[#This Row],[År]]=0,Tidstabel[[#This Row],[KF_Engangsudgifter]],AR21+Tidstabel[[#This Row],[KF_Engangsudgifter]])),BlankTegn)</f>
        <v>0</v>
      </c>
      <c r="AS22" s="315" t="str">
        <f>IFERROR(IF(Tidstabel[[#This Row],[År]]&gt;Input_Tidshorisont,BlankTegn,
-Energibesparelse_Årlig),BlankTegn)</f>
        <v>.</v>
      </c>
      <c r="AT22" s="245" t="str">
        <f>IFERROR(IF(Tidstabel[[#This Row],[År]]&gt;Input_Tidshorisont,BlankTegn,
IF(Tidstabel[[#This Row],[År]]=0,0,-Tidstabel[[#This Row],[KF_Energiforbrug]]*Input_Fjernvarmepris*((1+Tidstabel[[#This Row],[Kalkulationsrente]])^-Tidstabel[[#This Row],[År]])*((1+PrisudviklingFjernvarme)^Tidstabel[[#This Row],[År]]))),BlankTegn)</f>
        <v>.</v>
      </c>
      <c r="AU22" s="262" t="str">
        <f>IFERROR(IF(Tidstabel[[#This Row],[År]]&gt;Input_Tidshorisont,BlankTegn,
IF(Tidstabel[[#This Row],[År]]=0,Tidstabel[[#This Row],[KF_Forsyning]],AU21+Tidstabel[[#This Row],[KF_Forsyning]])),BlankTegn)</f>
        <v>.</v>
      </c>
      <c r="AV22" s="245">
        <f>IFERROR(IF(Tidstabel[[#This Row],[År]]&gt;Input_Tidshorisont,BlankTegn,
IF(Tidstabel[[#This Row],[År]]=0,-FB_Enhedspris,0)),BlankTegn)</f>
        <v>0</v>
      </c>
      <c r="AW22" s="245" t="str">
        <f>IFERROR(IF(Tidstabel[[#This Row],[År]]&gt;Input_Tidshorisont,BlankTegn,
IF(Tidstabel[[#This Row],[År]]=0,FB_Enhedspris/FB_Levetid,AW21*((1+Tidstabel[[#This Row],[Kalkulationsrente]])^-1)*((1+PrisudviklingGenerelt)^1))),BlankTegn)</f>
        <v>.</v>
      </c>
      <c r="AX22" s="178" t="str">
        <f ca="1">IFERROR(IF(Tidstabel[[#This Row],[År]]&gt;Input_Tidshorisont,BlankTegn,
IF(FB_Vedligehold_i=1,IF(Tidstabel[[#This Row],[FB_Uds?]]=0,1,0),IF(MAX(AX21:OFFSET(AY21,2-FB_Vedligehold_i,0),Tidstabel[[#This Row],[FB_Uds?]])=0,1,0))),BlankTegn)</f>
        <v>.</v>
      </c>
      <c r="AY22" s="178" t="str">
        <f>IFERROR(IF(Tidstabel[[#This Row],[År]]&gt;Input_Tidshorisont,BlankTegn,
IF(Tidstabel[[#This Row],[År]]=0,1,IF(MOD(Tidstabel[[#This Row],[År]],FB_Levetid)=0,1,IF(Tidstabel[[#This Row],[År]]=Input_Tidshorisont,0,0)))),BlankTegn)</f>
        <v>.</v>
      </c>
      <c r="AZ22" s="245" t="str">
        <f ca="1">IFERROR(IF(Tidstabel[[#This Row],[År]]&gt;Input_Tidshorisont,BlankTegn,
FB_Vedligehold_p*-FB_Enhedspris*Tidstabel[[#This Row],[FB_Ved?]]*((1+Tidstabel[[#This Row],[Kalkulationsrente]])^-Tidstabel[[#This Row],[År]])*((1+PrisudviklingGenerelt)^Tidstabel[[#This Row],[År]])),BlankTegn)</f>
        <v>.</v>
      </c>
      <c r="BA22" s="245" t="str">
        <f>IFERROR(IF(Tidstabel[[#This Row],[År]]&gt;Input_Tidshorisont,BlankTegn,
IF(Tidstabel[[#This Row],[År]]=0,FB_Enhedspris,SUM(BA21:BB21)*((1+Tidstabel[[#This Row],[Kalkulationsrente]])^-1)*((1+PrisudviklingGenerelt)^1)-Tidstabel[[#This Row],[FB_Afskrivning]])),BlankTegn)</f>
        <v>.</v>
      </c>
      <c r="BB22" s="245" t="str">
        <f>IFERROR(IF(Tidstabel[[#This Row],[År]]&gt;Input_Tidshorisont,BlankTegn,
IF(Tidstabel[[#This Row],[År]]=0,0,Tidstabel[[#This Row],[FB_Uds?]]*FB_Enhedspris*((1+Tidstabel[[#This Row],[Kalkulationsrente]])^-Tidstabel[[#This Row],[År]])*((1+PrisudviklingGenerelt)^Tidstabel[[#This Row],[År]]))),BlankTegn)</f>
        <v>.</v>
      </c>
      <c r="BC22" s="262" t="str">
        <f>IFERROR(IF(Tidstabel[[#This Row],[År]]&gt;Input_Tidshorisont,BlankTegn,
IF(Tidstabel[[#This Row],[År]]=0,0,Tidstabel[[#This Row],[FB_Uds?]]*-FB_Enhedspris*FB_Genoprettelse*((1+Tidstabel[[#This Row],[Kalkulationsrente]])^-Tidstabel[[#This Row],[År]])*((1+PrisudviklingGenerelt)^Tidstabel[[#This Row],[År]]))),BlankTegn)</f>
        <v>.</v>
      </c>
      <c r="BD22" s="245">
        <f>IFERROR(IF(Tidstabel[[#This Row],[År]]&gt;Input_Tidshorisont,BlankTegn,
IF(Tidstabel[[#This Row],[År]]=0,-VS_Enhedspris,0)),BlankTegn)</f>
        <v>0</v>
      </c>
      <c r="BE22" s="245" t="str">
        <f>IFERROR(IF(Tidstabel[[#This Row],[År]]&gt;Input_Tidshorisont,BlankTegn,
IF(Tidstabel[[#This Row],[År]]=0,VS_Enhedspris/VS_Levetid,BE21*((1+Tidstabel[[#This Row],[Kalkulationsrente]])^-1)*((1+PrisudviklingGenerelt)^1))),BlankTegn)</f>
        <v>.</v>
      </c>
      <c r="BF22" s="178" t="str">
        <f ca="1">IFERROR(IF(Tidstabel[[#This Row],[År]]&gt;Input_Tidshorisont,BlankTegn,
IF(VS_Vedligehold_i=1,IF(Tidstabel[[#This Row],[VS_Uds?]]=0,1,0),IF(MAX(BF21:OFFSET(BG21,2-VS_Vedligehold_i,0),Tidstabel[[#This Row],[VS_Uds?]])=0,1,0))),BlankTegn)</f>
        <v>.</v>
      </c>
      <c r="BG22" s="178" t="str">
        <f>IFERROR(IF(Tidstabel[[#This Row],[År]]&gt;Input_Tidshorisont,BlankTegn,
IF(Tidstabel[[#This Row],[År]]=0,1,IF(MOD(Tidstabel[[#This Row],[År]],VS_Levetid)=0,1,IF(Tidstabel[[#This Row],[År]]=Input_Tidshorisont,0,0)))),BlankTegn)</f>
        <v>.</v>
      </c>
      <c r="BH22" s="245" t="str">
        <f ca="1">IFERROR(IF(Tidstabel[[#This Row],[År]]&gt;Input_Tidshorisont,BlankTegn,
VS_Vedligehold_p*-VS_Enhedspris*Tidstabel[[#This Row],[VS_Ved?]]*((1+Tidstabel[[#This Row],[Kalkulationsrente]])^-Tidstabel[[#This Row],[År]])*((1+PrisudviklingGenerelt)^Tidstabel[[#This Row],[År]])),BlankTegn)</f>
        <v>.</v>
      </c>
      <c r="BI22" s="245" t="str">
        <f>IFERROR(IF(Tidstabel[[#This Row],[År]]&gt;Input_Tidshorisont,BlankTegn,
IF(Tidstabel[[#This Row],[År]]=0,VS_Enhedspris,SUM(BI21:BJ21)*((1+Tidstabel[[#This Row],[Kalkulationsrente]])^-1)*((1+PrisudviklingGenerelt)^1)-Tidstabel[[#This Row],[VS_Afskrivning]])),BlankTegn)</f>
        <v>.</v>
      </c>
      <c r="BJ22" s="245" t="str">
        <f>IFERROR(IF(Tidstabel[[#This Row],[År]]&gt;Input_Tidshorisont,BlankTegn,
IF(Tidstabel[[#This Row],[År]]=0,0,Tidstabel[[#This Row],[VS_Uds?]]*VS_Enhedspris*((1+Tidstabel[[#This Row],[Kalkulationsrente]])^-Tidstabel[[#This Row],[År]])*((1+PrisudviklingGenerelt)^Tidstabel[[#This Row],[År]]))),BlankTegn)</f>
        <v>.</v>
      </c>
      <c r="BK22" s="262" t="str">
        <f>IFERROR(IF(Tidstabel[[#This Row],[År]]&gt;Input_Tidshorisont,BlankTegn,
IF(Tidstabel[[#This Row],[År]]=0,0,Tidstabel[[#This Row],[VS_Uds?]]*-VS_Enhedspris*VS_Genoprettelse*((1+Tidstabel[[#This Row],[Kalkulationsrente]])^-Tidstabel[[#This Row],[År]])*((1+PrisudviklingGenerelt)^Tidstabel[[#This Row],[År]]))),BlankTegn)</f>
        <v>.</v>
      </c>
      <c r="BL22" s="245">
        <f>IFERROR(IF(Tidstabel[[#This Row],[År]]&gt;Input_Tidshorisont,BlankTegn,
IF(Tidstabel[[#This Row],[År]]=0,-EI_Enhedspris,0)),BlankTegn)</f>
        <v>0</v>
      </c>
      <c r="BM22" s="245" t="str">
        <f>IFERROR(IF(Tidstabel[[#This Row],[År]]&gt;Input_Tidshorisont,BlankTegn,
IF(Tidstabel[[#This Row],[År]]=0,EI_Enhedspris/EI_Levetid,BM21*((1+Tidstabel[[#This Row],[Kalkulationsrente]])^-1)*((1+PrisudviklingGenerelt)^1))),BlankTegn)</f>
        <v>.</v>
      </c>
      <c r="BN22" s="178" t="str">
        <f ca="1">IFERROR(IF(Tidstabel[[#This Row],[År]]&gt;Input_Tidshorisont,BlankTegn,
IF(EI_Vedligehold_i=1,IF(Tidstabel[[#This Row],[EI_Uds?]]=0,1,0),IF(MAX(BN21:OFFSET(BO21,2-EI_Vedligehold_i,0),Tidstabel[[#This Row],[EI_Uds?]])=0,1,0))),BlankTegn)</f>
        <v>.</v>
      </c>
      <c r="BO22" s="178" t="str">
        <f>IFERROR(IF(Tidstabel[[#This Row],[År]]&gt;Input_Tidshorisont,BlankTegn,
IF(Tidstabel[[#This Row],[År]]=0,1,IF(MOD(Tidstabel[[#This Row],[År]],EI_Levetid)=0,1,IF(Tidstabel[[#This Row],[År]]=Input_Tidshorisont,0,0)))),BlankTegn)</f>
        <v>.</v>
      </c>
      <c r="BP22" s="245" t="str">
        <f ca="1">IFERROR(IF(Tidstabel[[#This Row],[År]]&gt;Input_Tidshorisont,BlankTegn,
EI_Vedligehold_p*-EI_Enhedspris*Tidstabel[[#This Row],[EI_Ved?]]*((1+Tidstabel[[#This Row],[Kalkulationsrente]])^-Tidstabel[[#This Row],[År]])*((1+PrisudviklingGenerelt)^Tidstabel[[#This Row],[År]])),BlankTegn)</f>
        <v>.</v>
      </c>
      <c r="BQ22" s="245" t="str">
        <f>IFERROR(IF(Tidstabel[[#This Row],[År]]&gt;Input_Tidshorisont,BlankTegn,
IF(Tidstabel[[#This Row],[År]]=0,EI_Enhedspris,SUM(BQ21:BR21)*((1+Tidstabel[[#This Row],[Kalkulationsrente]])^-1)*((1+PrisudviklingGenerelt)^1)-Tidstabel[[#This Row],[EI_Afskrivning]])),BlankTegn)</f>
        <v>.</v>
      </c>
      <c r="BR22" s="245" t="str">
        <f>IFERROR(IF(Tidstabel[[#This Row],[År]]&gt;Input_Tidshorisont,BlankTegn,
IF(Tidstabel[[#This Row],[År]]=0,0,Tidstabel[[#This Row],[EI_Uds?]]*EI_Enhedspris*((1+Tidstabel[[#This Row],[Kalkulationsrente]])^-Tidstabel[[#This Row],[År]])*((1+PrisudviklingGenerelt)^Tidstabel[[#This Row],[År]]))),BlankTegn)</f>
        <v>.</v>
      </c>
      <c r="BS22" s="262" t="str">
        <f>IFERROR(IF(Tidstabel[[#This Row],[År]]&gt;Input_Tidshorisont,BlankTegn,
IF(Tidstabel[[#This Row],[År]]=0,0,Tidstabel[[#This Row],[EI_Uds?]]*-EI_Enhedspris*EI_Genoprettelse*((1+Tidstabel[[#This Row],[Kalkulationsrente]])^-Tidstabel[[#This Row],[År]])*((1+PrisudviklingGenerelt)^Tidstabel[[#This Row],[År]]))),BlankTegn)</f>
        <v>.</v>
      </c>
      <c r="BT22" s="245">
        <f>IFERROR(IF(Tidstabel[[#This Row],[År]]&gt;Input_Tidshorisont,BlankTegn,
IF(Tidstabel[[#This Row],[År]]=0,-AP_Enhedspris,0)),BlankTegn)</f>
        <v>0</v>
      </c>
      <c r="BU22" s="245" t="str">
        <f>IFERROR(IF(Tidstabel[[#This Row],[År]]&gt;Input_Tidshorisont,BlankTegn,
IF(Tidstabel[[#This Row],[År]]=0,AP_Enhedspris/AP_Levetid,BU21*((1+Tidstabel[[#This Row],[Kalkulationsrente]])^-1)*((1+PrisudviklingGenerelt)^1))),BlankTegn)</f>
        <v>.</v>
      </c>
      <c r="BV22" s="178" t="str">
        <f ca="1">IFERROR(IF(Tidstabel[[#This Row],[År]]&gt;Input_Tidshorisont,BlankTegn,
IF(AP_Vedligehold_i=1,IF(Tidstabel[[#This Row],[AP_Uds?]]=0,1,0),IF(MAX(BV21:OFFSET(BW21,2-AP_Vedligehold_i,0),Tidstabel[[#This Row],[AP_Uds?]])=0,1,0))),BlankTegn)</f>
        <v>.</v>
      </c>
      <c r="BW22" s="178" t="str">
        <f>IFERROR(IF(Tidstabel[[#This Row],[År]]&gt;Input_Tidshorisont,BlankTegn,
IF(Tidstabel[[#This Row],[År]]=0,1,IF(MOD(Tidstabel[[#This Row],[År]],AP_Levetid)=0,1,IF(Tidstabel[[#This Row],[År]]=Input_Tidshorisont,0,0)))),BlankTegn)</f>
        <v>.</v>
      </c>
      <c r="BX22" s="245" t="str">
        <f ca="1">IFERROR(IF(Tidstabel[[#This Row],[År]]&gt;Input_Tidshorisont,BlankTegn,
AP_Vedligehold_p*-AP_Enhedspris*Tidstabel[[#This Row],[AP_Ved?]]*((1+Tidstabel[[#This Row],[Kalkulationsrente]])^-Tidstabel[[#This Row],[År]])*((1+PrisudviklingGenerelt)^Tidstabel[[#This Row],[År]])),BlankTegn)</f>
        <v>.</v>
      </c>
      <c r="BY22" s="245" t="str">
        <f>IFERROR(IF(Tidstabel[[#This Row],[År]]&gt;Input_Tidshorisont,BlankTegn,
IF(Tidstabel[[#This Row],[År]]=0,AP_Enhedspris,SUM(BY21:BZ21)*((1+Tidstabel[[#This Row],[Kalkulationsrente]])^-1)*((1+PrisudviklingGenerelt)^1)-Tidstabel[[#This Row],[AP_Afskrivning]])),BlankTegn)</f>
        <v>.</v>
      </c>
      <c r="BZ22" s="245" t="str">
        <f>IFERROR(IF(Tidstabel[[#This Row],[År]]&gt;Input_Tidshorisont,BlankTegn,
IF(Tidstabel[[#This Row],[År]]=0,0,Tidstabel[[#This Row],[AP_Uds?]]*AP_Enhedspris*((1+Tidstabel[[#This Row],[Kalkulationsrente]])^-Tidstabel[[#This Row],[År]])*((1+PrisudviklingGenerelt)^Tidstabel[[#This Row],[År]]))),BlankTegn)</f>
        <v>.</v>
      </c>
      <c r="CA22" s="262" t="str">
        <f>IFERROR(IF(Tidstabel[[#This Row],[År]]&gt;Input_Tidshorisont,BlankTegn,
IF(Tidstabel[[#This Row],[År]]=0,0,Tidstabel[[#This Row],[AP_Uds?]]*-AP_Enhedspris*AP_Genoprettelse*((1+Tidstabel[[#This Row],[Kalkulationsrente]])^-Tidstabel[[#This Row],[År]])*((1+PrisudviklingGenerelt)^Tidstabel[[#This Row],[År]]))),BlankTegn)</f>
        <v>.</v>
      </c>
      <c r="CB22" s="245">
        <f>IFERROR(IF(Tidstabel[[#This Row],[År]]&gt;Input_Tidshorisont,BlankTegn,
IF(Tidstabel[[#This Row],[År]]=0,-SK_Enhedspris,0)),BlankTegn)</f>
        <v>0</v>
      </c>
      <c r="CC22" s="245" t="str">
        <f>IFERROR(IF(Tidstabel[[#This Row],[År]]&gt;Input_Tidshorisont,BlankTegn,
IF(Tidstabel[[#This Row],[År]]=0,SK_Enhedspris/SK_Levetid,CC21*((1+Tidstabel[[#This Row],[Kalkulationsrente]])^-1)*((1+PrisudviklingGenerelt)^1))),BlankTegn)</f>
        <v>.</v>
      </c>
      <c r="CD22" s="178" t="str">
        <f ca="1">IFERROR(IF(Tidstabel[[#This Row],[År]]&gt;Input_Tidshorisont,BlankTegn,
IF(SK_Vedligehold_i=1,IF(Tidstabel[[#This Row],[SK_Uds?]]=0,1,0),IF(MAX(CD21:OFFSET(CE21,2-SK_Vedligehold_i,0),Tidstabel[[#This Row],[SK_Uds?]])=0,1,0))),BlankTegn)</f>
        <v>.</v>
      </c>
      <c r="CE22" s="178" t="str">
        <f>IFERROR(IF(Tidstabel[[#This Row],[År]]&gt;Input_Tidshorisont,BlankTegn,
IF(Tidstabel[[#This Row],[År]]=0,1,IF(MOD(Tidstabel[[#This Row],[År]],SK_Levetid)=0,1,IF(Tidstabel[[#This Row],[År]]=Input_Tidshorisont,0,0)))),BlankTegn)</f>
        <v>.</v>
      </c>
      <c r="CF22" s="245" t="str">
        <f ca="1">IFERROR(IF(Tidstabel[[#This Row],[År]]&gt;Input_Tidshorisont,BlankTegn,
SK_Vedligehold_p*-SK_Enhedspris*Tidstabel[[#This Row],[SK_Ved?]]*((1+Tidstabel[[#This Row],[Kalkulationsrente]])^-Tidstabel[[#This Row],[År]])*((1+PrisudviklingGenerelt)^Tidstabel[[#This Row],[År]])),BlankTegn)</f>
        <v>.</v>
      </c>
      <c r="CG22" s="245" t="str">
        <f>IFERROR(IF(Tidstabel[[#This Row],[År]]&gt;Input_Tidshorisont,BlankTegn,
IF(Tidstabel[[#This Row],[År]]=0,SK_Enhedspris,SUM(CG21:CH21)*((1+Tidstabel[[#This Row],[Kalkulationsrente]])^-1)*((1+PrisudviklingGenerelt)^1)-Tidstabel[[#This Row],[SK_Afskrivning]])),BlankTegn)</f>
        <v>.</v>
      </c>
      <c r="CH22" s="245" t="str">
        <f>IFERROR(IF(Tidstabel[[#This Row],[År]]&gt;Input_Tidshorisont,BlankTegn,
IF(Tidstabel[[#This Row],[År]]=0,0,Tidstabel[[#This Row],[SK_Uds?]]*SK_Enhedspris*((1+Tidstabel[[#This Row],[Kalkulationsrente]])^-Tidstabel[[#This Row],[År]])*((1+PrisudviklingGenerelt)^Tidstabel[[#This Row],[År]]))),BlankTegn)</f>
        <v>.</v>
      </c>
      <c r="CI22" s="262" t="str">
        <f>IFERROR(IF(Tidstabel[[#This Row],[År]]&gt;Input_Tidshorisont,BlankTegn,
IF(Tidstabel[[#This Row],[År]]=0,0,Tidstabel[[#This Row],[SK_Uds?]]*-SK_Enhedspris*SK_Genoprettelse*((1+Tidstabel[[#This Row],[Kalkulationsrente]])^-Tidstabel[[#This Row],[År]])*((1+PrisudviklingGenerelt)^Tidstabel[[#This Row],[År]]))),BlankTegn)</f>
        <v>.</v>
      </c>
      <c r="CJ22" s="19"/>
    </row>
    <row r="23" spans="1:88">
      <c r="A23" s="250">
        <v>16</v>
      </c>
      <c r="B23" s="250">
        <f>Input_Etableringsår+Tidstabel[[#This Row],[År]]</f>
        <v>2040</v>
      </c>
      <c r="C23" s="274" cm="1">
        <f t="array" ref="C23">_xlfn.IFS(Tidstabel[[#This Row],[År]]&gt;KR_Trin3_Tærskel,KR_Trin3_Rente,Tidstabel[[#This Row],[År]]&gt;KR_Trin2_Tærskel,KR_Trin2_Rente,Tidstabel[[#This Row],[År]]&gt;KR_Trin1_Tærskel,KR_Trin1_Rente,Tidstabel[[#This Row],[År]]&gt;KR_Trin0_Tærskel,KR_Trin0_Rente)</f>
        <v>3.5000000000000003E-2</v>
      </c>
      <c r="D23" s="142" t="str" cm="1">
        <f t="array" ref="D23">IFERROR(
INDEX(Range_Materiale_ÅrligeEmissioner,MATCH(1,(Materialedata[Komponent]=FB_Titel)*(Materialedata[Materiale]=FB_Materiale),0),MATCH(Tidstabel[[#This Row],[År]],Range_Materiale_År,0)),BlankTegn)</f>
        <v>.</v>
      </c>
      <c r="E23" s="142" t="str" cm="1">
        <f t="array" ref="E23">IFERROR(
INDEX(Range_Materiale_ÅrligeEmissioner,MATCH(1,(Materialedata[Komponent]=SK_Titel)*(Materialedata[Materiale]=SK_Materiale),0),MATCH(Tidstabel[[#This Row],[År]],Range_Materiale_År,0)),BlankTegn)</f>
        <v>.</v>
      </c>
      <c r="F23" s="142" t="str" cm="1">
        <f t="array" ref="F23">IFERROR(
INDEX(Range_Materiale_ÅrligeEmissioner,MATCH(1,(Materialedata[Komponent]=EI_Titel)*(Materialedata[Materiale]=EI_Materiale),0),MATCH(Tidstabel[[#This Row],[År]],Range_Materiale_År,0)),BlankTegn)</f>
        <v>.</v>
      </c>
      <c r="G23" s="142" t="str" cm="1">
        <f t="array" ref="G23">IFERROR(
INDEX(Range_Materiale_ÅrligeEmissioner,MATCH(1,(Materialedata[Komponent]=AP_Titel)*(Materialedata[Materiale]=AP_Materiale),0),MATCH(Tidstabel[[#This Row],[År]],Range_Materiale_År,0)),BlankTegn)</f>
        <v>.</v>
      </c>
      <c r="H23" s="142" t="str" cm="1">
        <f t="array" ref="H23">IFERROR(
INDEX(Range_Materiale_ÅrligeEmissioner,MATCH(1,(Materialedata[Komponent]=VS_Titel)*(Materialedata[Materiale]=VS_Materiale),0),MATCH(Tidstabel[[#This Row],[År]],Range_Materiale_År,0)),BlankTegn)</f>
        <v>.</v>
      </c>
      <c r="I23" s="142" t="str">
        <f>IFERROR(
IF(SUM(Tidstabel[[#This Row],[Facadebeklædning]:[Vindspærre]])=0,BlankTegn,
SUM(Tidstabel[[#This Row],[Facadebeklædning]:[Vindspærre]])),BlankTegn)</f>
        <v>.</v>
      </c>
      <c r="J23" s="139">
        <f>IF(Tidstabel[[#This Row],[År]]&gt;Input_Tidshorisont,BlankTegn,
A5_ElVarmeBrændstofByggeplads)</f>
        <v>0.25</v>
      </c>
      <c r="K23" s="142" t="str">
        <f>IFERROR(IF(Tidstabel[[#This Row],[År]]&gt;Input_Tidshorisont,BlankTegn,
-1*INDEX(Range_Energi_ÅrligBesparelse,MATCH(Input_EksisterendeFacade,Energiberegning[Ydervæg],0),MATCH(Tidstabel[[#This Row],[Årstal]],Range_Energi_Årstal,0))),BlankTegn)</f>
        <v>.</v>
      </c>
      <c r="L23" s="142">
        <f>IF(Tidstabel[[#This Row],[År]]&gt;Input_Tidshorisont,BlankTegn,
(Tidstabel[[#This Row],[År]]+1)*(SUM(Vedligeholdelsesmaterialer[Facadefarve],Vedligeholdelsesmaterialer[Grunder og mellemmaling])/12+SUM(Vedligeholdelsesmaterialer[Puds])/30))</f>
        <v>5.5225228591666662</v>
      </c>
      <c r="M23" s="142" t="str">
        <f>IFERROR(IF(Tidstabel[[#This Row],[År]]&gt;Input_Tidshorisont,BlankTegn,
Tidstabel[[#This Row],[Materialer_Total]]+Tidstabel[[#This Row],[Byggeprocess]]),BlankTegn)</f>
        <v>.</v>
      </c>
      <c r="N23" s="142" t="str">
        <f>IFERROR(IF(Tidstabel[[#This Row],[År]]&gt;Input_Tidshorisont,BlankTegn,
Tidstabel[[#This Row],[Energibesparelse]]+Tidstabel[[#This Row],[Emission_Brutto]]),BlankTegn)</f>
        <v>.</v>
      </c>
      <c r="O23" s="142" t="str">
        <f>IFERROR(IF(Tidstabel[[#This Row],[År]]&gt;Input_Tidshorisont,BlankTegn,
Tidstabel[[#This Row],[Emission_Netto]]-Tidstabel[[#This Row],[Vedligehold_EksisterendeFacade]]),BlankTegn)</f>
        <v>.</v>
      </c>
      <c r="P23" s="271" t="str">
        <f>IFERROR(IF(Tidstabel[[#This Row],[År]]&gt;Input_Tidshorisont,BlankTegn,
IF(AND(Tidstabel[[#This Row],[Emission_Netto]]-Tidstabel[[#This Row],[Vedligehold_EksisterendeFacade]]&gt;0,N24-L24&lt;0),-1,IF(AND(Tidstabel[[#This Row],[Emission_Netto]]-Tidstabel[[#This Row],[Vedligehold_EksisterendeFacade]]&lt;0,N24-L24&gt;0),1,0))),BlankTegn)</f>
        <v>.</v>
      </c>
      <c r="Q23" s="174" t="str">
        <f>IF(Tidstabel[[#This Row],[År]]&gt;Input_Tidshorisont,BlankTegn,
IF(Tidstabel[[#This Row],[LCA-Skæring]]=-1,SUM(Tidstabel[[#This Row],[År]]*(1-ABS(Tidstabel[[#This Row],[LCA-Difference]])/(ABS(Tidstabel[[#This Row],[LCA-Difference]])+ABS(O24))),A24*(1-ABS(O24)/(ABS(Tidstabel[[#This Row],[LCA-Difference]])+ABS(O24)))),"-"))</f>
        <v>-</v>
      </c>
      <c r="R23" s="174" t="str">
        <f>IF(Tidstabel[[#This Row],[År]]&gt;Input_Tidshorisont,BlankTegn,
IF(Tidstabel[[#This Row],[LCA-Skæring]]=-1,SUM(Tidstabel[[#This Row],[Emission_Netto]]*(1-ABS(Tidstabel[[#This Row],[LCA-Difference]])/(ABS(Tidstabel[[#This Row],[LCA-Difference]])+ABS(O24))),N24*(1-ABS(O24)/(ABS(Tidstabel[[#This Row],[LCA-Difference]])+ABS(O24)))),"-"))</f>
        <v>-</v>
      </c>
      <c r="S23" s="174" t="str">
        <f>IF(Tidstabel[[#This Row],[År]]&gt;Input_Tidshorisont,BlankTegn,
IF(Tidstabel[[#This Row],[LCA-Skæring]]=1,SUM(Tidstabel[[#This Row],[År]]*(1-ABS(Tidstabel[[#This Row],[LCA-Difference]])/(ABS(Tidstabel[[#This Row],[LCA-Difference]])+ABS(O24))),A24*(1-ABS(O24)/(ABS(Tidstabel[[#This Row],[LCA-Difference]])+ABS(O24)))),"-"))</f>
        <v>-</v>
      </c>
      <c r="T23" s="264" t="str">
        <f>IF(Tidstabel[[#This Row],[År]]&gt;Input_Tidshorisont,BlankTegn,
IF(Tidstabel[[#This Row],[LCA-Skæring]]=1,SUM(Tidstabel[[#This Row],[Emission_Netto]]*(1-ABS(Tidstabel[[#This Row],[LCA-Difference]])/(ABS(Tidstabel[[#This Row],[LCA-Difference]])+ABS(O24))),N24*(1-ABS(O24)/(ABS(Tidstabel[[#This Row],[LCA-Difference]])+ABS(O24)))),"-"))</f>
        <v>-</v>
      </c>
      <c r="U23" s="142" t="str">
        <f ca="1">IFERROR(IF(Tidstabel[[#This Row],[År]]&gt;Input_Tidshorisont,BlankTegn,
Tidstabel[[#This Row],[NPV_Klimafacade]]-Tidstabel[[#This Row],[NPV_Eksisterende]]),BlankTegn)</f>
        <v>.</v>
      </c>
      <c r="V23" s="271" t="str">
        <f ca="1">IFERROR(IF(Tidstabel[[#This Row],[År]]&gt;Input_Tidshorisont,BlankTegn,
IF(AND(Tidstabel[[#This Row],[NPV_Klimafacade]]-Tidstabel[[#This Row],[NPV_Eksisterende]]&gt;0,AB24-AA24&lt;0),1,IF(AND(Tidstabel[[#This Row],[NPV_Klimafacade]]-Tidstabel[[#This Row],[NPV_Eksisterende]]&lt;0,AB24-AA24&gt;0),-1,0))),BlankTegn)</f>
        <v>.</v>
      </c>
      <c r="W23" s="174" t="str">
        <f ca="1">IF(Tidstabel[[#This Row],[År]]&gt;Input_Tidshorisont,BlankTegn,
IF(Tidstabel[[#This Row],[LCC-Skæring]]=-1,SUM(Tidstabel[[#This Row],[År]]*(1-ABS(Tidstabel[[#This Row],[LCC-Difference]])/(ABS(Tidstabel[[#This Row],[LCC-Difference]])+ABS(U24))),A24*(1-ABS(U24)/(ABS(Tidstabel[[#This Row],[LCC-Difference]])+ABS(U24)))),"-"))</f>
        <v>-</v>
      </c>
      <c r="X23" s="174" t="str">
        <f ca="1">IF(Tidstabel[[#This Row],[År]]&gt;Input_Tidshorisont,BlankTegn,
IF(Tidstabel[[#This Row],[LCC-Skæring]]=-1,SUM(Tidstabel[[#This Row],[NPV_Klimafacade]]*(1-ABS(Tidstabel[[#This Row],[LCC-Difference]])/(ABS(Tidstabel[[#This Row],[LCC-Difference]])+ABS(U24))),AB24*(1-ABS(U24)/(ABS(Tidstabel[[#This Row],[LCC-Difference]])+ABS(U24)))),"-"))</f>
        <v>-</v>
      </c>
      <c r="Y23" s="174" t="str">
        <f ca="1">IF(Tidstabel[[#This Row],[År]]&gt;Input_Tidshorisont,BlankTegn,
IF(Tidstabel[[#This Row],[LCC-Skæring]]=1,SUM(Tidstabel[[#This Row],[År]]*(1-ABS(Tidstabel[[#This Row],[LCC-Difference]])/(ABS(Tidstabel[[#This Row],[LCC-Difference]])+ABS(U24))),A24*(1-ABS(U24)/(ABS(Tidstabel[[#This Row],[LCC-Difference]])+ABS(U24)))),"-"))</f>
        <v>-</v>
      </c>
      <c r="Z23" s="264" t="str">
        <f ca="1">IF(Tidstabel[[#This Row],[År]]&gt;Input_Tidshorisont,BlankTegn,
IF(Tidstabel[[#This Row],[LCC-Skæring]]=1,SUM(Tidstabel[[#This Row],[NPV_Klimafacade]]*(1-ABS(Tidstabel[[#This Row],[LCC-Difference]])/(ABS(Tidstabel[[#This Row],[LCC-Difference]])+ABS(U24))),AB24*(1-ABS(U24)/(ABS(Tidstabel[[#This Row],[LCC-Difference]])+ABS(U24)))),"-"))</f>
        <v>-</v>
      </c>
      <c r="AA23" s="142">
        <f ca="1">IF(Tidstabel[[#This Row],[År]]&gt;Input_Tidshorisont,BlankTegn,
Tidstabel[[#This Row],[EF_Vedligehold_Aggregeret]])</f>
        <v>-139.42986778113954</v>
      </c>
      <c r="AB23"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23" s="142" t="str">
        <f>IFERROR(IF(Tidstabel[[#This Row],[År]]&gt;Input_Tidshorisont,BlankTegn,
Tidstabel[[#This Row],[KF_Anskaffelse_Aggregeret]]+Tidstabel[[#This Row],[KF_Engangsudgifter_Aggregeret]]),BlankTegn)</f>
        <v>.</v>
      </c>
      <c r="AD23" s="174">
        <f ca="1">IFERROR(IF(Tidstabel[[#This Row],[År]]&gt;Input_Tidshorisont,BlankTegn,
IF(Tidstabel[[#This Row],[År]]=0,0,Tidstabel[[#This Row],[NPV_Eksisterende]]*(Tidstabel[[#This Row],[Kalkulationsrente]]/(1-(1+Tidstabel[[#This Row],[Kalkulationsrente]])^-Tidstabel[[#This Row],[År]])))),BlankTegn)</f>
        <v>-11.528735003385506</v>
      </c>
      <c r="AE23" s="264" t="str">
        <f ca="1">IFERROR(IF(Tidstabel[[#This Row],[År]]&gt;Input_Tidshorisont,BlankTegn,
IF(Tidstabel[[#This Row],[År]]=0,0,Tidstabel[[#This Row],[NPV_Klimafacade]]*(Tidstabel[[#This Row],[Kalkulationsrente]]/(1-(1+Tidstabel[[#This Row],[Kalkulationsrente]])^-Tidstabel[[#This Row],[År]])))),BlankTegn)</f>
        <v>.</v>
      </c>
      <c r="AF23" s="270">
        <f ca="1">IF(Tidstabel[[#This Row],[År]]&gt;Input_Tidshorisont,BlankTegn,
IF(EF_Vedligehold_i=1,IF(Tidstabel[[#This Row],[EF_Uds?]]=0,1,0),IF(MAX(AF22:OFFSET(AG22,2-EF_Vedligehold_i,0),Tidstabel[[#This Row],[EF_Uds?]])=0,1,0)))</f>
        <v>1</v>
      </c>
      <c r="AG23" s="181">
        <f>IF(Tidstabel[[#This Row],[År]]&gt;Input_Tidshorisont,BlankTegn,0)</f>
        <v>0</v>
      </c>
      <c r="AH23" s="263">
        <f ca="1">IF(Tidstabel[[#This Row],[År]]&gt;Input_Tidshorisont,BlankTegn,
Tidstabel[[#This Row],[EF_Ved?]]*EF_Vedligehold_p*-EF_Enhedspris*((1+Tidstabel[[#This Row],[Kalkulationsrente]])^-Tidstabel[[#This Row],[År]])*((1+PrisudviklingGenerelt)^Tidstabel[[#This Row],[År]]))</f>
        <v>-6.1409280363951071</v>
      </c>
      <c r="AI23" s="262">
        <f ca="1">IF(Tidstabel[[#This Row],[År]]&gt;Input_Tidshorisont,BlankTegn,
IF(Tidstabel[[#This Row],[År]]=0,Tidstabel[[#This Row],[EF_Vedligehold]],AI22+Tidstabel[[#This Row],[EF_Vedligehold]]))</f>
        <v>-139.42986778113954</v>
      </c>
      <c r="AJ23" s="245">
        <f>IFERROR(IF(Tidstabel[[#This Row],[År]]&gt;Input_Tidshorisont,BlankTegn,
Tidstabel[[#This Row],[FB_Anskaffelse]]+Tidstabel[[#This Row],[VS_Anskaffelse]]+Tidstabel[[#This Row],[EI_Anskaffelse]]+Tidstabel[[#This Row],[AP_Anskaffelse]]+Tidstabel[[#This Row],[SK_Anskaffelse]]),BlankTegn)</f>
        <v>0</v>
      </c>
      <c r="AK23" s="245" t="str">
        <f>IFERROR(IF(Tidstabel[[#This Row],[År]]&gt;Input_Tidshorisont,BlankTegn,
IF(Tidstabel[[#This Row],[År]]=0,Tidstabel[[#This Row],[KF_Anskaffelse]],AK22+Tidstabel[[#This Row],[KF_Anskaffelse]])),BlankTegn)</f>
        <v>.</v>
      </c>
      <c r="AL23" s="246" t="str">
        <f ca="1">IFERROR(IF(Tidstabel[[#This Row],[År]]&gt;Input_Tidshorisont,BlankTegn,
Tidstabel[[#This Row],[FB_Vedligehold]]+Tidstabel[[#This Row],[VS_Vedligehold]]+Tidstabel[[#This Row],[EI_Vedligehold]]+Tidstabel[[#This Row],[AP_Vedligehold]]+Tidstabel[[#This Row],[SK_Vedligehold]]),BlankTegn)</f>
        <v>.</v>
      </c>
      <c r="AM23" s="245" t="str">
        <f ca="1">IFERROR(IF(Tidstabel[[#This Row],[År]]&gt;Input_Tidshorisont,BlankTegn,
IF(Tidstabel[[#This Row],[År]]=0,Tidstabel[[#This Row],[KF_Vedligehold]],AM22+Tidstabel[[#This Row],[KF_Vedligehold]])),BlankTegn)</f>
        <v>.</v>
      </c>
      <c r="AN23"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23"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23" s="245" t="str">
        <f>IFERROR(IF(Tidstabel[[#This Row],[År]]&gt;Input_Tidshorisont,BlankTegn,
IF(Tidstabel[[#This Row],[År]]=0,Tidstabel[[#This Row],[KF_Udskiftning_Komponent]],AP22+Tidstabel[[#This Row],[KF_Udskiftning_Komponent]])),BlankTegn)</f>
        <v>.</v>
      </c>
      <c r="AQ23" s="245">
        <f>IF(Tidstabel[[#This Row],[År]]&gt;Input_Tidshorisont,BlankTegn,
IF(Tidstabel[[#This Row],[År]]=0,-SUM(Engangsudgifter[Udgift]),0))</f>
        <v>0</v>
      </c>
      <c r="AR23" s="245">
        <f>IFERROR(IF(Tidstabel[[#This Row],[År]]&gt;Input_Tidshorisont,BlankTegn,
IF(Tidstabel[[#This Row],[År]]=0,Tidstabel[[#This Row],[KF_Engangsudgifter]],AR22+Tidstabel[[#This Row],[KF_Engangsudgifter]])),BlankTegn)</f>
        <v>0</v>
      </c>
      <c r="AS23" s="315" t="str">
        <f>IFERROR(IF(Tidstabel[[#This Row],[År]]&gt;Input_Tidshorisont,BlankTegn,
-Energibesparelse_Årlig),BlankTegn)</f>
        <v>.</v>
      </c>
      <c r="AT23" s="245" t="str">
        <f>IFERROR(IF(Tidstabel[[#This Row],[År]]&gt;Input_Tidshorisont,BlankTegn,
IF(Tidstabel[[#This Row],[År]]=0,0,-Tidstabel[[#This Row],[KF_Energiforbrug]]*Input_Fjernvarmepris*((1+Tidstabel[[#This Row],[Kalkulationsrente]])^-Tidstabel[[#This Row],[År]])*((1+PrisudviklingFjernvarme)^Tidstabel[[#This Row],[År]]))),BlankTegn)</f>
        <v>.</v>
      </c>
      <c r="AU23" s="262" t="str">
        <f>IFERROR(IF(Tidstabel[[#This Row],[År]]&gt;Input_Tidshorisont,BlankTegn,
IF(Tidstabel[[#This Row],[År]]=0,Tidstabel[[#This Row],[KF_Forsyning]],AU22+Tidstabel[[#This Row],[KF_Forsyning]])),BlankTegn)</f>
        <v>.</v>
      </c>
      <c r="AV23" s="245">
        <f>IFERROR(IF(Tidstabel[[#This Row],[År]]&gt;Input_Tidshorisont,BlankTegn,
IF(Tidstabel[[#This Row],[År]]=0,-FB_Enhedspris,0)),BlankTegn)</f>
        <v>0</v>
      </c>
      <c r="AW23" s="245" t="str">
        <f>IFERROR(IF(Tidstabel[[#This Row],[År]]&gt;Input_Tidshorisont,BlankTegn,
IF(Tidstabel[[#This Row],[År]]=0,FB_Enhedspris/FB_Levetid,AW22*((1+Tidstabel[[#This Row],[Kalkulationsrente]])^-1)*((1+PrisudviklingGenerelt)^1))),BlankTegn)</f>
        <v>.</v>
      </c>
      <c r="AX23" s="178" t="str">
        <f ca="1">IFERROR(IF(Tidstabel[[#This Row],[År]]&gt;Input_Tidshorisont,BlankTegn,
IF(FB_Vedligehold_i=1,IF(Tidstabel[[#This Row],[FB_Uds?]]=0,1,0),IF(MAX(AX22:OFFSET(AY22,2-FB_Vedligehold_i,0),Tidstabel[[#This Row],[FB_Uds?]])=0,1,0))),BlankTegn)</f>
        <v>.</v>
      </c>
      <c r="AY23" s="178" t="str">
        <f>IFERROR(IF(Tidstabel[[#This Row],[År]]&gt;Input_Tidshorisont,BlankTegn,
IF(Tidstabel[[#This Row],[År]]=0,1,IF(MOD(Tidstabel[[#This Row],[År]],FB_Levetid)=0,1,IF(Tidstabel[[#This Row],[År]]=Input_Tidshorisont,0,0)))),BlankTegn)</f>
        <v>.</v>
      </c>
      <c r="AZ23" s="245" t="str">
        <f ca="1">IFERROR(IF(Tidstabel[[#This Row],[År]]&gt;Input_Tidshorisont,BlankTegn,
FB_Vedligehold_p*-FB_Enhedspris*Tidstabel[[#This Row],[FB_Ved?]]*((1+Tidstabel[[#This Row],[Kalkulationsrente]])^-Tidstabel[[#This Row],[År]])*((1+PrisudviklingGenerelt)^Tidstabel[[#This Row],[År]])),BlankTegn)</f>
        <v>.</v>
      </c>
      <c r="BA23" s="245" t="str">
        <f>IFERROR(IF(Tidstabel[[#This Row],[År]]&gt;Input_Tidshorisont,BlankTegn,
IF(Tidstabel[[#This Row],[År]]=0,FB_Enhedspris,SUM(BA22:BB22)*((1+Tidstabel[[#This Row],[Kalkulationsrente]])^-1)*((1+PrisudviklingGenerelt)^1)-Tidstabel[[#This Row],[FB_Afskrivning]])),BlankTegn)</f>
        <v>.</v>
      </c>
      <c r="BB23" s="245" t="str">
        <f>IFERROR(IF(Tidstabel[[#This Row],[År]]&gt;Input_Tidshorisont,BlankTegn,
IF(Tidstabel[[#This Row],[År]]=0,0,Tidstabel[[#This Row],[FB_Uds?]]*FB_Enhedspris*((1+Tidstabel[[#This Row],[Kalkulationsrente]])^-Tidstabel[[#This Row],[År]])*((1+PrisudviklingGenerelt)^Tidstabel[[#This Row],[År]]))),BlankTegn)</f>
        <v>.</v>
      </c>
      <c r="BC23" s="262" t="str">
        <f>IFERROR(IF(Tidstabel[[#This Row],[År]]&gt;Input_Tidshorisont,BlankTegn,
IF(Tidstabel[[#This Row],[År]]=0,0,Tidstabel[[#This Row],[FB_Uds?]]*-FB_Enhedspris*FB_Genoprettelse*((1+Tidstabel[[#This Row],[Kalkulationsrente]])^-Tidstabel[[#This Row],[År]])*((1+PrisudviklingGenerelt)^Tidstabel[[#This Row],[År]]))),BlankTegn)</f>
        <v>.</v>
      </c>
      <c r="BD23" s="245">
        <f>IFERROR(IF(Tidstabel[[#This Row],[År]]&gt;Input_Tidshorisont,BlankTegn,
IF(Tidstabel[[#This Row],[År]]=0,-VS_Enhedspris,0)),BlankTegn)</f>
        <v>0</v>
      </c>
      <c r="BE23" s="245" t="str">
        <f>IFERROR(IF(Tidstabel[[#This Row],[År]]&gt;Input_Tidshorisont,BlankTegn,
IF(Tidstabel[[#This Row],[År]]=0,VS_Enhedspris/VS_Levetid,BE22*((1+Tidstabel[[#This Row],[Kalkulationsrente]])^-1)*((1+PrisudviklingGenerelt)^1))),BlankTegn)</f>
        <v>.</v>
      </c>
      <c r="BF23" s="178" t="str">
        <f ca="1">IFERROR(IF(Tidstabel[[#This Row],[År]]&gt;Input_Tidshorisont,BlankTegn,
IF(VS_Vedligehold_i=1,IF(Tidstabel[[#This Row],[VS_Uds?]]=0,1,0),IF(MAX(BF22:OFFSET(BG22,2-VS_Vedligehold_i,0),Tidstabel[[#This Row],[VS_Uds?]])=0,1,0))),BlankTegn)</f>
        <v>.</v>
      </c>
      <c r="BG23" s="178" t="str">
        <f>IFERROR(IF(Tidstabel[[#This Row],[År]]&gt;Input_Tidshorisont,BlankTegn,
IF(Tidstabel[[#This Row],[År]]=0,1,IF(MOD(Tidstabel[[#This Row],[År]],VS_Levetid)=0,1,IF(Tidstabel[[#This Row],[År]]=Input_Tidshorisont,0,0)))),BlankTegn)</f>
        <v>.</v>
      </c>
      <c r="BH23" s="245" t="str">
        <f ca="1">IFERROR(IF(Tidstabel[[#This Row],[År]]&gt;Input_Tidshorisont,BlankTegn,
VS_Vedligehold_p*-VS_Enhedspris*Tidstabel[[#This Row],[VS_Ved?]]*((1+Tidstabel[[#This Row],[Kalkulationsrente]])^-Tidstabel[[#This Row],[År]])*((1+PrisudviklingGenerelt)^Tidstabel[[#This Row],[År]])),BlankTegn)</f>
        <v>.</v>
      </c>
      <c r="BI23" s="245" t="str">
        <f>IFERROR(IF(Tidstabel[[#This Row],[År]]&gt;Input_Tidshorisont,BlankTegn,
IF(Tidstabel[[#This Row],[År]]=0,VS_Enhedspris,SUM(BI22:BJ22)*((1+Tidstabel[[#This Row],[Kalkulationsrente]])^-1)*((1+PrisudviklingGenerelt)^1)-Tidstabel[[#This Row],[VS_Afskrivning]])),BlankTegn)</f>
        <v>.</v>
      </c>
      <c r="BJ23" s="245" t="str">
        <f>IFERROR(IF(Tidstabel[[#This Row],[År]]&gt;Input_Tidshorisont,BlankTegn,
IF(Tidstabel[[#This Row],[År]]=0,0,Tidstabel[[#This Row],[VS_Uds?]]*VS_Enhedspris*((1+Tidstabel[[#This Row],[Kalkulationsrente]])^-Tidstabel[[#This Row],[År]])*((1+PrisudviklingGenerelt)^Tidstabel[[#This Row],[År]]))),BlankTegn)</f>
        <v>.</v>
      </c>
      <c r="BK23" s="262" t="str">
        <f>IFERROR(IF(Tidstabel[[#This Row],[År]]&gt;Input_Tidshorisont,BlankTegn,
IF(Tidstabel[[#This Row],[År]]=0,0,Tidstabel[[#This Row],[VS_Uds?]]*-VS_Enhedspris*VS_Genoprettelse*((1+Tidstabel[[#This Row],[Kalkulationsrente]])^-Tidstabel[[#This Row],[År]])*((1+PrisudviklingGenerelt)^Tidstabel[[#This Row],[År]]))),BlankTegn)</f>
        <v>.</v>
      </c>
      <c r="BL23" s="245">
        <f>IFERROR(IF(Tidstabel[[#This Row],[År]]&gt;Input_Tidshorisont,BlankTegn,
IF(Tidstabel[[#This Row],[År]]=0,-EI_Enhedspris,0)),BlankTegn)</f>
        <v>0</v>
      </c>
      <c r="BM23" s="245" t="str">
        <f>IFERROR(IF(Tidstabel[[#This Row],[År]]&gt;Input_Tidshorisont,BlankTegn,
IF(Tidstabel[[#This Row],[År]]=0,EI_Enhedspris/EI_Levetid,BM22*((1+Tidstabel[[#This Row],[Kalkulationsrente]])^-1)*((1+PrisudviklingGenerelt)^1))),BlankTegn)</f>
        <v>.</v>
      </c>
      <c r="BN23" s="178" t="str">
        <f ca="1">IFERROR(IF(Tidstabel[[#This Row],[År]]&gt;Input_Tidshorisont,BlankTegn,
IF(EI_Vedligehold_i=1,IF(Tidstabel[[#This Row],[EI_Uds?]]=0,1,0),IF(MAX(BN22:OFFSET(BO22,2-EI_Vedligehold_i,0),Tidstabel[[#This Row],[EI_Uds?]])=0,1,0))),BlankTegn)</f>
        <v>.</v>
      </c>
      <c r="BO23" s="178" t="str">
        <f>IFERROR(IF(Tidstabel[[#This Row],[År]]&gt;Input_Tidshorisont,BlankTegn,
IF(Tidstabel[[#This Row],[År]]=0,1,IF(MOD(Tidstabel[[#This Row],[År]],EI_Levetid)=0,1,IF(Tidstabel[[#This Row],[År]]=Input_Tidshorisont,0,0)))),BlankTegn)</f>
        <v>.</v>
      </c>
      <c r="BP23" s="245" t="str">
        <f ca="1">IFERROR(IF(Tidstabel[[#This Row],[År]]&gt;Input_Tidshorisont,BlankTegn,
EI_Vedligehold_p*-EI_Enhedspris*Tidstabel[[#This Row],[EI_Ved?]]*((1+Tidstabel[[#This Row],[Kalkulationsrente]])^-Tidstabel[[#This Row],[År]])*((1+PrisudviklingGenerelt)^Tidstabel[[#This Row],[År]])),BlankTegn)</f>
        <v>.</v>
      </c>
      <c r="BQ23" s="245" t="str">
        <f>IFERROR(IF(Tidstabel[[#This Row],[År]]&gt;Input_Tidshorisont,BlankTegn,
IF(Tidstabel[[#This Row],[År]]=0,EI_Enhedspris,SUM(BQ22:BR22)*((1+Tidstabel[[#This Row],[Kalkulationsrente]])^-1)*((1+PrisudviklingGenerelt)^1)-Tidstabel[[#This Row],[EI_Afskrivning]])),BlankTegn)</f>
        <v>.</v>
      </c>
      <c r="BR23" s="245" t="str">
        <f>IFERROR(IF(Tidstabel[[#This Row],[År]]&gt;Input_Tidshorisont,BlankTegn,
IF(Tidstabel[[#This Row],[År]]=0,0,Tidstabel[[#This Row],[EI_Uds?]]*EI_Enhedspris*((1+Tidstabel[[#This Row],[Kalkulationsrente]])^-Tidstabel[[#This Row],[År]])*((1+PrisudviklingGenerelt)^Tidstabel[[#This Row],[År]]))),BlankTegn)</f>
        <v>.</v>
      </c>
      <c r="BS23" s="262" t="str">
        <f>IFERROR(IF(Tidstabel[[#This Row],[År]]&gt;Input_Tidshorisont,BlankTegn,
IF(Tidstabel[[#This Row],[År]]=0,0,Tidstabel[[#This Row],[EI_Uds?]]*-EI_Enhedspris*EI_Genoprettelse*((1+Tidstabel[[#This Row],[Kalkulationsrente]])^-Tidstabel[[#This Row],[År]])*((1+PrisudviklingGenerelt)^Tidstabel[[#This Row],[År]]))),BlankTegn)</f>
        <v>.</v>
      </c>
      <c r="BT23" s="245">
        <f>IFERROR(IF(Tidstabel[[#This Row],[År]]&gt;Input_Tidshorisont,BlankTegn,
IF(Tidstabel[[#This Row],[År]]=0,-AP_Enhedspris,0)),BlankTegn)</f>
        <v>0</v>
      </c>
      <c r="BU23" s="245" t="str">
        <f>IFERROR(IF(Tidstabel[[#This Row],[År]]&gt;Input_Tidshorisont,BlankTegn,
IF(Tidstabel[[#This Row],[År]]=0,AP_Enhedspris/AP_Levetid,BU22*((1+Tidstabel[[#This Row],[Kalkulationsrente]])^-1)*((1+PrisudviklingGenerelt)^1))),BlankTegn)</f>
        <v>.</v>
      </c>
      <c r="BV23" s="178" t="str">
        <f ca="1">IFERROR(IF(Tidstabel[[#This Row],[År]]&gt;Input_Tidshorisont,BlankTegn,
IF(AP_Vedligehold_i=1,IF(Tidstabel[[#This Row],[AP_Uds?]]=0,1,0),IF(MAX(BV22:OFFSET(BW22,2-AP_Vedligehold_i,0),Tidstabel[[#This Row],[AP_Uds?]])=0,1,0))),BlankTegn)</f>
        <v>.</v>
      </c>
      <c r="BW23" s="178" t="str">
        <f>IFERROR(IF(Tidstabel[[#This Row],[År]]&gt;Input_Tidshorisont,BlankTegn,
IF(Tidstabel[[#This Row],[År]]=0,1,IF(MOD(Tidstabel[[#This Row],[År]],AP_Levetid)=0,1,IF(Tidstabel[[#This Row],[År]]=Input_Tidshorisont,0,0)))),BlankTegn)</f>
        <v>.</v>
      </c>
      <c r="BX23" s="245" t="str">
        <f ca="1">IFERROR(IF(Tidstabel[[#This Row],[År]]&gt;Input_Tidshorisont,BlankTegn,
AP_Vedligehold_p*-AP_Enhedspris*Tidstabel[[#This Row],[AP_Ved?]]*((1+Tidstabel[[#This Row],[Kalkulationsrente]])^-Tidstabel[[#This Row],[År]])*((1+PrisudviklingGenerelt)^Tidstabel[[#This Row],[År]])),BlankTegn)</f>
        <v>.</v>
      </c>
      <c r="BY23" s="245" t="str">
        <f>IFERROR(IF(Tidstabel[[#This Row],[År]]&gt;Input_Tidshorisont,BlankTegn,
IF(Tidstabel[[#This Row],[År]]=0,AP_Enhedspris,SUM(BY22:BZ22)*((1+Tidstabel[[#This Row],[Kalkulationsrente]])^-1)*((1+PrisudviklingGenerelt)^1)-Tidstabel[[#This Row],[AP_Afskrivning]])),BlankTegn)</f>
        <v>.</v>
      </c>
      <c r="BZ23" s="245" t="str">
        <f>IFERROR(IF(Tidstabel[[#This Row],[År]]&gt;Input_Tidshorisont,BlankTegn,
IF(Tidstabel[[#This Row],[År]]=0,0,Tidstabel[[#This Row],[AP_Uds?]]*AP_Enhedspris*((1+Tidstabel[[#This Row],[Kalkulationsrente]])^-Tidstabel[[#This Row],[År]])*((1+PrisudviklingGenerelt)^Tidstabel[[#This Row],[År]]))),BlankTegn)</f>
        <v>.</v>
      </c>
      <c r="CA23" s="262" t="str">
        <f>IFERROR(IF(Tidstabel[[#This Row],[År]]&gt;Input_Tidshorisont,BlankTegn,
IF(Tidstabel[[#This Row],[År]]=0,0,Tidstabel[[#This Row],[AP_Uds?]]*-AP_Enhedspris*AP_Genoprettelse*((1+Tidstabel[[#This Row],[Kalkulationsrente]])^-Tidstabel[[#This Row],[År]])*((1+PrisudviklingGenerelt)^Tidstabel[[#This Row],[År]]))),BlankTegn)</f>
        <v>.</v>
      </c>
      <c r="CB23" s="245">
        <f>IFERROR(IF(Tidstabel[[#This Row],[År]]&gt;Input_Tidshorisont,BlankTegn,
IF(Tidstabel[[#This Row],[År]]=0,-SK_Enhedspris,0)),BlankTegn)</f>
        <v>0</v>
      </c>
      <c r="CC23" s="245" t="str">
        <f>IFERROR(IF(Tidstabel[[#This Row],[År]]&gt;Input_Tidshorisont,BlankTegn,
IF(Tidstabel[[#This Row],[År]]=0,SK_Enhedspris/SK_Levetid,CC22*((1+Tidstabel[[#This Row],[Kalkulationsrente]])^-1)*((1+PrisudviklingGenerelt)^1))),BlankTegn)</f>
        <v>.</v>
      </c>
      <c r="CD23" s="178" t="str">
        <f ca="1">IFERROR(IF(Tidstabel[[#This Row],[År]]&gt;Input_Tidshorisont,BlankTegn,
IF(SK_Vedligehold_i=1,IF(Tidstabel[[#This Row],[SK_Uds?]]=0,1,0),IF(MAX(CD22:OFFSET(CE22,2-SK_Vedligehold_i,0),Tidstabel[[#This Row],[SK_Uds?]])=0,1,0))),BlankTegn)</f>
        <v>.</v>
      </c>
      <c r="CE23" s="178" t="str">
        <f>IFERROR(IF(Tidstabel[[#This Row],[År]]&gt;Input_Tidshorisont,BlankTegn,
IF(Tidstabel[[#This Row],[År]]=0,1,IF(MOD(Tidstabel[[#This Row],[År]],SK_Levetid)=0,1,IF(Tidstabel[[#This Row],[År]]=Input_Tidshorisont,0,0)))),BlankTegn)</f>
        <v>.</v>
      </c>
      <c r="CF23" s="245" t="str">
        <f ca="1">IFERROR(IF(Tidstabel[[#This Row],[År]]&gt;Input_Tidshorisont,BlankTegn,
SK_Vedligehold_p*-SK_Enhedspris*Tidstabel[[#This Row],[SK_Ved?]]*((1+Tidstabel[[#This Row],[Kalkulationsrente]])^-Tidstabel[[#This Row],[År]])*((1+PrisudviklingGenerelt)^Tidstabel[[#This Row],[År]])),BlankTegn)</f>
        <v>.</v>
      </c>
      <c r="CG23" s="245" t="str">
        <f>IFERROR(IF(Tidstabel[[#This Row],[År]]&gt;Input_Tidshorisont,BlankTegn,
IF(Tidstabel[[#This Row],[År]]=0,SK_Enhedspris,SUM(CG22:CH22)*((1+Tidstabel[[#This Row],[Kalkulationsrente]])^-1)*((1+PrisudviklingGenerelt)^1)-Tidstabel[[#This Row],[SK_Afskrivning]])),BlankTegn)</f>
        <v>.</v>
      </c>
      <c r="CH23" s="245" t="str">
        <f>IFERROR(IF(Tidstabel[[#This Row],[År]]&gt;Input_Tidshorisont,BlankTegn,
IF(Tidstabel[[#This Row],[År]]=0,0,Tidstabel[[#This Row],[SK_Uds?]]*SK_Enhedspris*((1+Tidstabel[[#This Row],[Kalkulationsrente]])^-Tidstabel[[#This Row],[År]])*((1+PrisudviklingGenerelt)^Tidstabel[[#This Row],[År]]))),BlankTegn)</f>
        <v>.</v>
      </c>
      <c r="CI23" s="262" t="str">
        <f>IFERROR(IF(Tidstabel[[#This Row],[År]]&gt;Input_Tidshorisont,BlankTegn,
IF(Tidstabel[[#This Row],[År]]=0,0,Tidstabel[[#This Row],[SK_Uds?]]*-SK_Enhedspris*SK_Genoprettelse*((1+Tidstabel[[#This Row],[Kalkulationsrente]])^-Tidstabel[[#This Row],[År]])*((1+PrisudviklingGenerelt)^Tidstabel[[#This Row],[År]]))),BlankTegn)</f>
        <v>.</v>
      </c>
      <c r="CJ23" s="19"/>
    </row>
    <row r="24" spans="1:88">
      <c r="A24" s="250">
        <v>17</v>
      </c>
      <c r="B24" s="250">
        <f>Input_Etableringsår+Tidstabel[[#This Row],[År]]</f>
        <v>2041</v>
      </c>
      <c r="C24" s="274" cm="1">
        <f t="array" ref="C24">_xlfn.IFS(Tidstabel[[#This Row],[År]]&gt;KR_Trin3_Tærskel,KR_Trin3_Rente,Tidstabel[[#This Row],[År]]&gt;KR_Trin2_Tærskel,KR_Trin2_Rente,Tidstabel[[#This Row],[År]]&gt;KR_Trin1_Tærskel,KR_Trin1_Rente,Tidstabel[[#This Row],[År]]&gt;KR_Trin0_Tærskel,KR_Trin0_Rente)</f>
        <v>3.5000000000000003E-2</v>
      </c>
      <c r="D24" s="142" t="str" cm="1">
        <f t="array" ref="D24">IFERROR(
INDEX(Range_Materiale_ÅrligeEmissioner,MATCH(1,(Materialedata[Komponent]=FB_Titel)*(Materialedata[Materiale]=FB_Materiale),0),MATCH(Tidstabel[[#This Row],[År]],Range_Materiale_År,0)),BlankTegn)</f>
        <v>.</v>
      </c>
      <c r="E24" s="142" t="str" cm="1">
        <f t="array" ref="E24">IFERROR(
INDEX(Range_Materiale_ÅrligeEmissioner,MATCH(1,(Materialedata[Komponent]=SK_Titel)*(Materialedata[Materiale]=SK_Materiale),0),MATCH(Tidstabel[[#This Row],[År]],Range_Materiale_År,0)),BlankTegn)</f>
        <v>.</v>
      </c>
      <c r="F24" s="142" t="str" cm="1">
        <f t="array" ref="F24">IFERROR(
INDEX(Range_Materiale_ÅrligeEmissioner,MATCH(1,(Materialedata[Komponent]=EI_Titel)*(Materialedata[Materiale]=EI_Materiale),0),MATCH(Tidstabel[[#This Row],[År]],Range_Materiale_År,0)),BlankTegn)</f>
        <v>.</v>
      </c>
      <c r="G24" s="142" t="str" cm="1">
        <f t="array" ref="G24">IFERROR(
INDEX(Range_Materiale_ÅrligeEmissioner,MATCH(1,(Materialedata[Komponent]=AP_Titel)*(Materialedata[Materiale]=AP_Materiale),0),MATCH(Tidstabel[[#This Row],[År]],Range_Materiale_År,0)),BlankTegn)</f>
        <v>.</v>
      </c>
      <c r="H24" s="142" t="str" cm="1">
        <f t="array" ref="H24">IFERROR(
INDEX(Range_Materiale_ÅrligeEmissioner,MATCH(1,(Materialedata[Komponent]=VS_Titel)*(Materialedata[Materiale]=VS_Materiale),0),MATCH(Tidstabel[[#This Row],[År]],Range_Materiale_År,0)),BlankTegn)</f>
        <v>.</v>
      </c>
      <c r="I24" s="142" t="str">
        <f>IFERROR(
IF(SUM(Tidstabel[[#This Row],[Facadebeklædning]:[Vindspærre]])=0,BlankTegn,
SUM(Tidstabel[[#This Row],[Facadebeklædning]:[Vindspærre]])),BlankTegn)</f>
        <v>.</v>
      </c>
      <c r="J24" s="139">
        <f>IF(Tidstabel[[#This Row],[År]]&gt;Input_Tidshorisont,BlankTegn,
A5_ElVarmeBrændstofByggeplads)</f>
        <v>0.25</v>
      </c>
      <c r="K24" s="142" t="str">
        <f>IFERROR(IF(Tidstabel[[#This Row],[År]]&gt;Input_Tidshorisont,BlankTegn,
-1*INDEX(Range_Energi_ÅrligBesparelse,MATCH(Input_EksisterendeFacade,Energiberegning[Ydervæg],0),MATCH(Tidstabel[[#This Row],[Årstal]],Range_Energi_Årstal,0))),BlankTegn)</f>
        <v>.</v>
      </c>
      <c r="L24" s="142">
        <f>IF(Tidstabel[[#This Row],[År]]&gt;Input_Tidshorisont,BlankTegn,
(Tidstabel[[#This Row],[År]]+1)*(SUM(Vedligeholdelsesmaterialer[Facadefarve],Vedligeholdelsesmaterialer[Grunder og mellemmaling])/12+SUM(Vedligeholdelsesmaterialer[Puds])/30))</f>
        <v>5.8473771449999994</v>
      </c>
      <c r="M24" s="142" t="str">
        <f>IFERROR(IF(Tidstabel[[#This Row],[År]]&gt;Input_Tidshorisont,BlankTegn,
Tidstabel[[#This Row],[Materialer_Total]]+Tidstabel[[#This Row],[Byggeprocess]]),BlankTegn)</f>
        <v>.</v>
      </c>
      <c r="N24" s="142" t="str">
        <f>IFERROR(IF(Tidstabel[[#This Row],[År]]&gt;Input_Tidshorisont,BlankTegn,
Tidstabel[[#This Row],[Energibesparelse]]+Tidstabel[[#This Row],[Emission_Brutto]]),BlankTegn)</f>
        <v>.</v>
      </c>
      <c r="O24" s="142" t="str">
        <f>IFERROR(IF(Tidstabel[[#This Row],[År]]&gt;Input_Tidshorisont,BlankTegn,
Tidstabel[[#This Row],[Emission_Netto]]-Tidstabel[[#This Row],[Vedligehold_EksisterendeFacade]]),BlankTegn)</f>
        <v>.</v>
      </c>
      <c r="P24" s="271" t="str">
        <f>IFERROR(IF(Tidstabel[[#This Row],[År]]&gt;Input_Tidshorisont,BlankTegn,
IF(AND(Tidstabel[[#This Row],[Emission_Netto]]-Tidstabel[[#This Row],[Vedligehold_EksisterendeFacade]]&gt;0,N25-L25&lt;0),-1,IF(AND(Tidstabel[[#This Row],[Emission_Netto]]-Tidstabel[[#This Row],[Vedligehold_EksisterendeFacade]]&lt;0,N25-L25&gt;0),1,0))),BlankTegn)</f>
        <v>.</v>
      </c>
      <c r="Q24" s="174" t="str">
        <f>IF(Tidstabel[[#This Row],[År]]&gt;Input_Tidshorisont,BlankTegn,
IF(Tidstabel[[#This Row],[LCA-Skæring]]=-1,SUM(Tidstabel[[#This Row],[År]]*(1-ABS(Tidstabel[[#This Row],[LCA-Difference]])/(ABS(Tidstabel[[#This Row],[LCA-Difference]])+ABS(O25))),A25*(1-ABS(O25)/(ABS(Tidstabel[[#This Row],[LCA-Difference]])+ABS(O25)))),"-"))</f>
        <v>-</v>
      </c>
      <c r="R24" s="174" t="str">
        <f>IF(Tidstabel[[#This Row],[År]]&gt;Input_Tidshorisont,BlankTegn,
IF(Tidstabel[[#This Row],[LCA-Skæring]]=-1,SUM(Tidstabel[[#This Row],[Emission_Netto]]*(1-ABS(Tidstabel[[#This Row],[LCA-Difference]])/(ABS(Tidstabel[[#This Row],[LCA-Difference]])+ABS(O25))),N25*(1-ABS(O25)/(ABS(Tidstabel[[#This Row],[LCA-Difference]])+ABS(O25)))),"-"))</f>
        <v>-</v>
      </c>
      <c r="S24" s="174" t="str">
        <f>IF(Tidstabel[[#This Row],[År]]&gt;Input_Tidshorisont,BlankTegn,
IF(Tidstabel[[#This Row],[LCA-Skæring]]=1,SUM(Tidstabel[[#This Row],[År]]*(1-ABS(Tidstabel[[#This Row],[LCA-Difference]])/(ABS(Tidstabel[[#This Row],[LCA-Difference]])+ABS(O25))),A25*(1-ABS(O25)/(ABS(Tidstabel[[#This Row],[LCA-Difference]])+ABS(O25)))),"-"))</f>
        <v>-</v>
      </c>
      <c r="T24" s="264" t="str">
        <f>IF(Tidstabel[[#This Row],[År]]&gt;Input_Tidshorisont,BlankTegn,
IF(Tidstabel[[#This Row],[LCA-Skæring]]=1,SUM(Tidstabel[[#This Row],[Emission_Netto]]*(1-ABS(Tidstabel[[#This Row],[LCA-Difference]])/(ABS(Tidstabel[[#This Row],[LCA-Difference]])+ABS(O25))),N25*(1-ABS(O25)/(ABS(Tidstabel[[#This Row],[LCA-Difference]])+ABS(O25)))),"-"))</f>
        <v>-</v>
      </c>
      <c r="U24" s="142" t="str">
        <f ca="1">IFERROR(IF(Tidstabel[[#This Row],[År]]&gt;Input_Tidshorisont,BlankTegn,
Tidstabel[[#This Row],[NPV_Klimafacade]]-Tidstabel[[#This Row],[NPV_Eksisterende]]),BlankTegn)</f>
        <v>.</v>
      </c>
      <c r="V24" s="271" t="str">
        <f ca="1">IFERROR(IF(Tidstabel[[#This Row],[År]]&gt;Input_Tidshorisont,BlankTegn,
IF(AND(Tidstabel[[#This Row],[NPV_Klimafacade]]-Tidstabel[[#This Row],[NPV_Eksisterende]]&gt;0,AB25-AA25&lt;0),1,IF(AND(Tidstabel[[#This Row],[NPV_Klimafacade]]-Tidstabel[[#This Row],[NPV_Eksisterende]]&lt;0,AB25-AA25&gt;0),-1,0))),BlankTegn)</f>
        <v>.</v>
      </c>
      <c r="W24" s="174" t="str">
        <f ca="1">IF(Tidstabel[[#This Row],[År]]&gt;Input_Tidshorisont,BlankTegn,
IF(Tidstabel[[#This Row],[LCC-Skæring]]=-1,SUM(Tidstabel[[#This Row],[År]]*(1-ABS(Tidstabel[[#This Row],[LCC-Difference]])/(ABS(Tidstabel[[#This Row],[LCC-Difference]])+ABS(U25))),A25*(1-ABS(U25)/(ABS(Tidstabel[[#This Row],[LCC-Difference]])+ABS(U25)))),"-"))</f>
        <v>-</v>
      </c>
      <c r="X24" s="174" t="str">
        <f ca="1">IF(Tidstabel[[#This Row],[År]]&gt;Input_Tidshorisont,BlankTegn,
IF(Tidstabel[[#This Row],[LCC-Skæring]]=-1,SUM(Tidstabel[[#This Row],[NPV_Klimafacade]]*(1-ABS(Tidstabel[[#This Row],[LCC-Difference]])/(ABS(Tidstabel[[#This Row],[LCC-Difference]])+ABS(U25))),AB25*(1-ABS(U25)/(ABS(Tidstabel[[#This Row],[LCC-Difference]])+ABS(U25)))),"-"))</f>
        <v>-</v>
      </c>
      <c r="Y24" s="174" t="str">
        <f ca="1">IF(Tidstabel[[#This Row],[År]]&gt;Input_Tidshorisont,BlankTegn,
IF(Tidstabel[[#This Row],[LCC-Skæring]]=1,SUM(Tidstabel[[#This Row],[År]]*(1-ABS(Tidstabel[[#This Row],[LCC-Difference]])/(ABS(Tidstabel[[#This Row],[LCC-Difference]])+ABS(U25))),A25*(1-ABS(U25)/(ABS(Tidstabel[[#This Row],[LCC-Difference]])+ABS(U25)))),"-"))</f>
        <v>-</v>
      </c>
      <c r="Z24" s="264" t="str">
        <f ca="1">IF(Tidstabel[[#This Row],[År]]&gt;Input_Tidshorisont,BlankTegn,
IF(Tidstabel[[#This Row],[LCC-Skæring]]=1,SUM(Tidstabel[[#This Row],[NPV_Klimafacade]]*(1-ABS(Tidstabel[[#This Row],[LCC-Difference]])/(ABS(Tidstabel[[#This Row],[LCC-Difference]])+ABS(U25))),AB25*(1-ABS(U25)/(ABS(Tidstabel[[#This Row],[LCC-Difference]])+ABS(U25)))),"-"))</f>
        <v>-</v>
      </c>
      <c r="AA24" s="142">
        <f ca="1">IF(Tidstabel[[#This Row],[År]]&gt;Input_Tidshorisont,BlankTegn,
Tidstabel[[#This Row],[EF_Vedligehold_Aggregeret]])</f>
        <v>-145.36313158441982</v>
      </c>
      <c r="AB24"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24" s="142" t="str">
        <f>IFERROR(IF(Tidstabel[[#This Row],[År]]&gt;Input_Tidshorisont,BlankTegn,
Tidstabel[[#This Row],[KF_Anskaffelse_Aggregeret]]+Tidstabel[[#This Row],[KF_Engangsudgifter_Aggregeret]]),BlankTegn)</f>
        <v>.</v>
      </c>
      <c r="AD24" s="174">
        <f ca="1">IFERROR(IF(Tidstabel[[#This Row],[År]]&gt;Input_Tidshorisont,BlankTegn,
IF(Tidstabel[[#This Row],[År]]=0,0,Tidstabel[[#This Row],[NPV_Eksisterende]]*(Tidstabel[[#This Row],[Kalkulationsrente]]/(1-(1+Tidstabel[[#This Row],[Kalkulationsrente]])^-Tidstabel[[#This Row],[År]])))),BlankTegn)</f>
        <v>-11.489957161237761</v>
      </c>
      <c r="AE24" s="264" t="str">
        <f ca="1">IFERROR(IF(Tidstabel[[#This Row],[År]]&gt;Input_Tidshorisont,BlankTegn,
IF(Tidstabel[[#This Row],[År]]=0,0,Tidstabel[[#This Row],[NPV_Klimafacade]]*(Tidstabel[[#This Row],[Kalkulationsrente]]/(1-(1+Tidstabel[[#This Row],[Kalkulationsrente]])^-Tidstabel[[#This Row],[År]])))),BlankTegn)</f>
        <v>.</v>
      </c>
      <c r="AF24" s="270">
        <f ca="1">IF(Tidstabel[[#This Row],[År]]&gt;Input_Tidshorisont,BlankTegn,
IF(EF_Vedligehold_i=1,IF(Tidstabel[[#This Row],[EF_Uds?]]=0,1,0),IF(MAX(AF23:OFFSET(AG23,2-EF_Vedligehold_i,0),Tidstabel[[#This Row],[EF_Uds?]])=0,1,0)))</f>
        <v>1</v>
      </c>
      <c r="AG24" s="181">
        <f>IF(Tidstabel[[#This Row],[År]]&gt;Input_Tidshorisont,BlankTegn,0)</f>
        <v>0</v>
      </c>
      <c r="AH24" s="263">
        <f ca="1">IF(Tidstabel[[#This Row],[År]]&gt;Input_Tidshorisont,BlankTegn,
Tidstabel[[#This Row],[EF_Ved?]]*EF_Vedligehold_p*-EF_Enhedspris*((1+Tidstabel[[#This Row],[Kalkulationsrente]])^-Tidstabel[[#This Row],[År]])*((1+PrisudviklingGenerelt)^Tidstabel[[#This Row],[År]]))</f>
        <v>-5.9332638032802976</v>
      </c>
      <c r="AI24" s="262">
        <f ca="1">IF(Tidstabel[[#This Row],[År]]&gt;Input_Tidshorisont,BlankTegn,
IF(Tidstabel[[#This Row],[År]]=0,Tidstabel[[#This Row],[EF_Vedligehold]],AI23+Tidstabel[[#This Row],[EF_Vedligehold]]))</f>
        <v>-145.36313158441982</v>
      </c>
      <c r="AJ24" s="245">
        <f>IFERROR(IF(Tidstabel[[#This Row],[År]]&gt;Input_Tidshorisont,BlankTegn,
Tidstabel[[#This Row],[FB_Anskaffelse]]+Tidstabel[[#This Row],[VS_Anskaffelse]]+Tidstabel[[#This Row],[EI_Anskaffelse]]+Tidstabel[[#This Row],[AP_Anskaffelse]]+Tidstabel[[#This Row],[SK_Anskaffelse]]),BlankTegn)</f>
        <v>0</v>
      </c>
      <c r="AK24" s="245" t="str">
        <f>IFERROR(IF(Tidstabel[[#This Row],[År]]&gt;Input_Tidshorisont,BlankTegn,
IF(Tidstabel[[#This Row],[År]]=0,Tidstabel[[#This Row],[KF_Anskaffelse]],AK23+Tidstabel[[#This Row],[KF_Anskaffelse]])),BlankTegn)</f>
        <v>.</v>
      </c>
      <c r="AL24" s="246" t="str">
        <f ca="1">IFERROR(IF(Tidstabel[[#This Row],[År]]&gt;Input_Tidshorisont,BlankTegn,
Tidstabel[[#This Row],[FB_Vedligehold]]+Tidstabel[[#This Row],[VS_Vedligehold]]+Tidstabel[[#This Row],[EI_Vedligehold]]+Tidstabel[[#This Row],[AP_Vedligehold]]+Tidstabel[[#This Row],[SK_Vedligehold]]),BlankTegn)</f>
        <v>.</v>
      </c>
      <c r="AM24" s="245" t="str">
        <f ca="1">IFERROR(IF(Tidstabel[[#This Row],[År]]&gt;Input_Tidshorisont,BlankTegn,
IF(Tidstabel[[#This Row],[År]]=0,Tidstabel[[#This Row],[KF_Vedligehold]],AM23+Tidstabel[[#This Row],[KF_Vedligehold]])),BlankTegn)</f>
        <v>.</v>
      </c>
      <c r="AN24"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24"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24" s="245" t="str">
        <f>IFERROR(IF(Tidstabel[[#This Row],[År]]&gt;Input_Tidshorisont,BlankTegn,
IF(Tidstabel[[#This Row],[År]]=0,Tidstabel[[#This Row],[KF_Udskiftning_Komponent]],AP23+Tidstabel[[#This Row],[KF_Udskiftning_Komponent]])),BlankTegn)</f>
        <v>.</v>
      </c>
      <c r="AQ24" s="245">
        <f>IF(Tidstabel[[#This Row],[År]]&gt;Input_Tidshorisont,BlankTegn,
IF(Tidstabel[[#This Row],[År]]=0,-SUM(Engangsudgifter[Udgift]),0))</f>
        <v>0</v>
      </c>
      <c r="AR24" s="245">
        <f>IFERROR(IF(Tidstabel[[#This Row],[År]]&gt;Input_Tidshorisont,BlankTegn,
IF(Tidstabel[[#This Row],[År]]=0,Tidstabel[[#This Row],[KF_Engangsudgifter]],AR23+Tidstabel[[#This Row],[KF_Engangsudgifter]])),BlankTegn)</f>
        <v>0</v>
      </c>
      <c r="AS24" s="315" t="str">
        <f>IFERROR(IF(Tidstabel[[#This Row],[År]]&gt;Input_Tidshorisont,BlankTegn,
-Energibesparelse_Årlig),BlankTegn)</f>
        <v>.</v>
      </c>
      <c r="AT24" s="245" t="str">
        <f>IFERROR(IF(Tidstabel[[#This Row],[År]]&gt;Input_Tidshorisont,BlankTegn,
IF(Tidstabel[[#This Row],[År]]=0,0,-Tidstabel[[#This Row],[KF_Energiforbrug]]*Input_Fjernvarmepris*((1+Tidstabel[[#This Row],[Kalkulationsrente]])^-Tidstabel[[#This Row],[År]])*((1+PrisudviklingFjernvarme)^Tidstabel[[#This Row],[År]]))),BlankTegn)</f>
        <v>.</v>
      </c>
      <c r="AU24" s="262" t="str">
        <f>IFERROR(IF(Tidstabel[[#This Row],[År]]&gt;Input_Tidshorisont,BlankTegn,
IF(Tidstabel[[#This Row],[År]]=0,Tidstabel[[#This Row],[KF_Forsyning]],AU23+Tidstabel[[#This Row],[KF_Forsyning]])),BlankTegn)</f>
        <v>.</v>
      </c>
      <c r="AV24" s="245">
        <f>IFERROR(IF(Tidstabel[[#This Row],[År]]&gt;Input_Tidshorisont,BlankTegn,
IF(Tidstabel[[#This Row],[År]]=0,-FB_Enhedspris,0)),BlankTegn)</f>
        <v>0</v>
      </c>
      <c r="AW24" s="245" t="str">
        <f>IFERROR(IF(Tidstabel[[#This Row],[År]]&gt;Input_Tidshorisont,BlankTegn,
IF(Tidstabel[[#This Row],[År]]=0,FB_Enhedspris/FB_Levetid,AW23*((1+Tidstabel[[#This Row],[Kalkulationsrente]])^-1)*((1+PrisudviklingGenerelt)^1))),BlankTegn)</f>
        <v>.</v>
      </c>
      <c r="AX24" s="178" t="str">
        <f ca="1">IFERROR(IF(Tidstabel[[#This Row],[År]]&gt;Input_Tidshorisont,BlankTegn,
IF(FB_Vedligehold_i=1,IF(Tidstabel[[#This Row],[FB_Uds?]]=0,1,0),IF(MAX(AX23:OFFSET(AY23,2-FB_Vedligehold_i,0),Tidstabel[[#This Row],[FB_Uds?]])=0,1,0))),BlankTegn)</f>
        <v>.</v>
      </c>
      <c r="AY24" s="178" t="str">
        <f>IFERROR(IF(Tidstabel[[#This Row],[År]]&gt;Input_Tidshorisont,BlankTegn,
IF(Tidstabel[[#This Row],[År]]=0,1,IF(MOD(Tidstabel[[#This Row],[År]],FB_Levetid)=0,1,IF(Tidstabel[[#This Row],[År]]=Input_Tidshorisont,0,0)))),BlankTegn)</f>
        <v>.</v>
      </c>
      <c r="AZ24" s="245" t="str">
        <f ca="1">IFERROR(IF(Tidstabel[[#This Row],[År]]&gt;Input_Tidshorisont,BlankTegn,
FB_Vedligehold_p*-FB_Enhedspris*Tidstabel[[#This Row],[FB_Ved?]]*((1+Tidstabel[[#This Row],[Kalkulationsrente]])^-Tidstabel[[#This Row],[År]])*((1+PrisudviklingGenerelt)^Tidstabel[[#This Row],[År]])),BlankTegn)</f>
        <v>.</v>
      </c>
      <c r="BA24" s="245" t="str">
        <f>IFERROR(IF(Tidstabel[[#This Row],[År]]&gt;Input_Tidshorisont,BlankTegn,
IF(Tidstabel[[#This Row],[År]]=0,FB_Enhedspris,SUM(BA23:BB23)*((1+Tidstabel[[#This Row],[Kalkulationsrente]])^-1)*((1+PrisudviklingGenerelt)^1)-Tidstabel[[#This Row],[FB_Afskrivning]])),BlankTegn)</f>
        <v>.</v>
      </c>
      <c r="BB24" s="245" t="str">
        <f>IFERROR(IF(Tidstabel[[#This Row],[År]]&gt;Input_Tidshorisont,BlankTegn,
IF(Tidstabel[[#This Row],[År]]=0,0,Tidstabel[[#This Row],[FB_Uds?]]*FB_Enhedspris*((1+Tidstabel[[#This Row],[Kalkulationsrente]])^-Tidstabel[[#This Row],[År]])*((1+PrisudviklingGenerelt)^Tidstabel[[#This Row],[År]]))),BlankTegn)</f>
        <v>.</v>
      </c>
      <c r="BC24" s="262" t="str">
        <f>IFERROR(IF(Tidstabel[[#This Row],[År]]&gt;Input_Tidshorisont,BlankTegn,
IF(Tidstabel[[#This Row],[År]]=0,0,Tidstabel[[#This Row],[FB_Uds?]]*-FB_Enhedspris*FB_Genoprettelse*((1+Tidstabel[[#This Row],[Kalkulationsrente]])^-Tidstabel[[#This Row],[År]])*((1+PrisudviklingGenerelt)^Tidstabel[[#This Row],[År]]))),BlankTegn)</f>
        <v>.</v>
      </c>
      <c r="BD24" s="245">
        <f>IFERROR(IF(Tidstabel[[#This Row],[År]]&gt;Input_Tidshorisont,BlankTegn,
IF(Tidstabel[[#This Row],[År]]=0,-VS_Enhedspris,0)),BlankTegn)</f>
        <v>0</v>
      </c>
      <c r="BE24" s="245" t="str">
        <f>IFERROR(IF(Tidstabel[[#This Row],[År]]&gt;Input_Tidshorisont,BlankTegn,
IF(Tidstabel[[#This Row],[År]]=0,VS_Enhedspris/VS_Levetid,BE23*((1+Tidstabel[[#This Row],[Kalkulationsrente]])^-1)*((1+PrisudviklingGenerelt)^1))),BlankTegn)</f>
        <v>.</v>
      </c>
      <c r="BF24" s="178" t="str">
        <f ca="1">IFERROR(IF(Tidstabel[[#This Row],[År]]&gt;Input_Tidshorisont,BlankTegn,
IF(VS_Vedligehold_i=1,IF(Tidstabel[[#This Row],[VS_Uds?]]=0,1,0),IF(MAX(BF23:OFFSET(BG23,2-VS_Vedligehold_i,0),Tidstabel[[#This Row],[VS_Uds?]])=0,1,0))),BlankTegn)</f>
        <v>.</v>
      </c>
      <c r="BG24" s="178" t="str">
        <f>IFERROR(IF(Tidstabel[[#This Row],[År]]&gt;Input_Tidshorisont,BlankTegn,
IF(Tidstabel[[#This Row],[År]]=0,1,IF(MOD(Tidstabel[[#This Row],[År]],VS_Levetid)=0,1,IF(Tidstabel[[#This Row],[År]]=Input_Tidshorisont,0,0)))),BlankTegn)</f>
        <v>.</v>
      </c>
      <c r="BH24" s="245" t="str">
        <f ca="1">IFERROR(IF(Tidstabel[[#This Row],[År]]&gt;Input_Tidshorisont,BlankTegn,
VS_Vedligehold_p*-VS_Enhedspris*Tidstabel[[#This Row],[VS_Ved?]]*((1+Tidstabel[[#This Row],[Kalkulationsrente]])^-Tidstabel[[#This Row],[År]])*((1+PrisudviklingGenerelt)^Tidstabel[[#This Row],[År]])),BlankTegn)</f>
        <v>.</v>
      </c>
      <c r="BI24" s="245" t="str">
        <f>IFERROR(IF(Tidstabel[[#This Row],[År]]&gt;Input_Tidshorisont,BlankTegn,
IF(Tidstabel[[#This Row],[År]]=0,VS_Enhedspris,SUM(BI23:BJ23)*((1+Tidstabel[[#This Row],[Kalkulationsrente]])^-1)*((1+PrisudviklingGenerelt)^1)-Tidstabel[[#This Row],[VS_Afskrivning]])),BlankTegn)</f>
        <v>.</v>
      </c>
      <c r="BJ24" s="245" t="str">
        <f>IFERROR(IF(Tidstabel[[#This Row],[År]]&gt;Input_Tidshorisont,BlankTegn,
IF(Tidstabel[[#This Row],[År]]=0,0,Tidstabel[[#This Row],[VS_Uds?]]*VS_Enhedspris*((1+Tidstabel[[#This Row],[Kalkulationsrente]])^-Tidstabel[[#This Row],[År]])*((1+PrisudviklingGenerelt)^Tidstabel[[#This Row],[År]]))),BlankTegn)</f>
        <v>.</v>
      </c>
      <c r="BK24" s="262" t="str">
        <f>IFERROR(IF(Tidstabel[[#This Row],[År]]&gt;Input_Tidshorisont,BlankTegn,
IF(Tidstabel[[#This Row],[År]]=0,0,Tidstabel[[#This Row],[VS_Uds?]]*-VS_Enhedspris*VS_Genoprettelse*((1+Tidstabel[[#This Row],[Kalkulationsrente]])^-Tidstabel[[#This Row],[År]])*((1+PrisudviklingGenerelt)^Tidstabel[[#This Row],[År]]))),BlankTegn)</f>
        <v>.</v>
      </c>
      <c r="BL24" s="245">
        <f>IFERROR(IF(Tidstabel[[#This Row],[År]]&gt;Input_Tidshorisont,BlankTegn,
IF(Tidstabel[[#This Row],[År]]=0,-EI_Enhedspris,0)),BlankTegn)</f>
        <v>0</v>
      </c>
      <c r="BM24" s="245" t="str">
        <f>IFERROR(IF(Tidstabel[[#This Row],[År]]&gt;Input_Tidshorisont,BlankTegn,
IF(Tidstabel[[#This Row],[År]]=0,EI_Enhedspris/EI_Levetid,BM23*((1+Tidstabel[[#This Row],[Kalkulationsrente]])^-1)*((1+PrisudviklingGenerelt)^1))),BlankTegn)</f>
        <v>.</v>
      </c>
      <c r="BN24" s="178" t="str">
        <f ca="1">IFERROR(IF(Tidstabel[[#This Row],[År]]&gt;Input_Tidshorisont,BlankTegn,
IF(EI_Vedligehold_i=1,IF(Tidstabel[[#This Row],[EI_Uds?]]=0,1,0),IF(MAX(BN23:OFFSET(BO23,2-EI_Vedligehold_i,0),Tidstabel[[#This Row],[EI_Uds?]])=0,1,0))),BlankTegn)</f>
        <v>.</v>
      </c>
      <c r="BO24" s="178" t="str">
        <f>IFERROR(IF(Tidstabel[[#This Row],[År]]&gt;Input_Tidshorisont,BlankTegn,
IF(Tidstabel[[#This Row],[År]]=0,1,IF(MOD(Tidstabel[[#This Row],[År]],EI_Levetid)=0,1,IF(Tidstabel[[#This Row],[År]]=Input_Tidshorisont,0,0)))),BlankTegn)</f>
        <v>.</v>
      </c>
      <c r="BP24" s="245" t="str">
        <f ca="1">IFERROR(IF(Tidstabel[[#This Row],[År]]&gt;Input_Tidshorisont,BlankTegn,
EI_Vedligehold_p*-EI_Enhedspris*Tidstabel[[#This Row],[EI_Ved?]]*((1+Tidstabel[[#This Row],[Kalkulationsrente]])^-Tidstabel[[#This Row],[År]])*((1+PrisudviklingGenerelt)^Tidstabel[[#This Row],[År]])),BlankTegn)</f>
        <v>.</v>
      </c>
      <c r="BQ24" s="245" t="str">
        <f>IFERROR(IF(Tidstabel[[#This Row],[År]]&gt;Input_Tidshorisont,BlankTegn,
IF(Tidstabel[[#This Row],[År]]=0,EI_Enhedspris,SUM(BQ23:BR23)*((1+Tidstabel[[#This Row],[Kalkulationsrente]])^-1)*((1+PrisudviklingGenerelt)^1)-Tidstabel[[#This Row],[EI_Afskrivning]])),BlankTegn)</f>
        <v>.</v>
      </c>
      <c r="BR24" s="245" t="str">
        <f>IFERROR(IF(Tidstabel[[#This Row],[År]]&gt;Input_Tidshorisont,BlankTegn,
IF(Tidstabel[[#This Row],[År]]=0,0,Tidstabel[[#This Row],[EI_Uds?]]*EI_Enhedspris*((1+Tidstabel[[#This Row],[Kalkulationsrente]])^-Tidstabel[[#This Row],[År]])*((1+PrisudviklingGenerelt)^Tidstabel[[#This Row],[År]]))),BlankTegn)</f>
        <v>.</v>
      </c>
      <c r="BS24" s="262" t="str">
        <f>IFERROR(IF(Tidstabel[[#This Row],[År]]&gt;Input_Tidshorisont,BlankTegn,
IF(Tidstabel[[#This Row],[År]]=0,0,Tidstabel[[#This Row],[EI_Uds?]]*-EI_Enhedspris*EI_Genoprettelse*((1+Tidstabel[[#This Row],[Kalkulationsrente]])^-Tidstabel[[#This Row],[År]])*((1+PrisudviklingGenerelt)^Tidstabel[[#This Row],[År]]))),BlankTegn)</f>
        <v>.</v>
      </c>
      <c r="BT24" s="245">
        <f>IFERROR(IF(Tidstabel[[#This Row],[År]]&gt;Input_Tidshorisont,BlankTegn,
IF(Tidstabel[[#This Row],[År]]=0,-AP_Enhedspris,0)),BlankTegn)</f>
        <v>0</v>
      </c>
      <c r="BU24" s="245" t="str">
        <f>IFERROR(IF(Tidstabel[[#This Row],[År]]&gt;Input_Tidshorisont,BlankTegn,
IF(Tidstabel[[#This Row],[År]]=0,AP_Enhedspris/AP_Levetid,BU23*((1+Tidstabel[[#This Row],[Kalkulationsrente]])^-1)*((1+PrisudviklingGenerelt)^1))),BlankTegn)</f>
        <v>.</v>
      </c>
      <c r="BV24" s="178" t="str">
        <f ca="1">IFERROR(IF(Tidstabel[[#This Row],[År]]&gt;Input_Tidshorisont,BlankTegn,
IF(AP_Vedligehold_i=1,IF(Tidstabel[[#This Row],[AP_Uds?]]=0,1,0),IF(MAX(BV23:OFFSET(BW23,2-AP_Vedligehold_i,0),Tidstabel[[#This Row],[AP_Uds?]])=0,1,0))),BlankTegn)</f>
        <v>.</v>
      </c>
      <c r="BW24" s="178" t="str">
        <f>IFERROR(IF(Tidstabel[[#This Row],[År]]&gt;Input_Tidshorisont,BlankTegn,
IF(Tidstabel[[#This Row],[År]]=0,1,IF(MOD(Tidstabel[[#This Row],[År]],AP_Levetid)=0,1,IF(Tidstabel[[#This Row],[År]]=Input_Tidshorisont,0,0)))),BlankTegn)</f>
        <v>.</v>
      </c>
      <c r="BX24" s="245" t="str">
        <f ca="1">IFERROR(IF(Tidstabel[[#This Row],[År]]&gt;Input_Tidshorisont,BlankTegn,
AP_Vedligehold_p*-AP_Enhedspris*Tidstabel[[#This Row],[AP_Ved?]]*((1+Tidstabel[[#This Row],[Kalkulationsrente]])^-Tidstabel[[#This Row],[År]])*((1+PrisudviklingGenerelt)^Tidstabel[[#This Row],[År]])),BlankTegn)</f>
        <v>.</v>
      </c>
      <c r="BY24" s="245" t="str">
        <f>IFERROR(IF(Tidstabel[[#This Row],[År]]&gt;Input_Tidshorisont,BlankTegn,
IF(Tidstabel[[#This Row],[År]]=0,AP_Enhedspris,SUM(BY23:BZ23)*((1+Tidstabel[[#This Row],[Kalkulationsrente]])^-1)*((1+PrisudviklingGenerelt)^1)-Tidstabel[[#This Row],[AP_Afskrivning]])),BlankTegn)</f>
        <v>.</v>
      </c>
      <c r="BZ24" s="245" t="str">
        <f>IFERROR(IF(Tidstabel[[#This Row],[År]]&gt;Input_Tidshorisont,BlankTegn,
IF(Tidstabel[[#This Row],[År]]=0,0,Tidstabel[[#This Row],[AP_Uds?]]*AP_Enhedspris*((1+Tidstabel[[#This Row],[Kalkulationsrente]])^-Tidstabel[[#This Row],[År]])*((1+PrisudviklingGenerelt)^Tidstabel[[#This Row],[År]]))),BlankTegn)</f>
        <v>.</v>
      </c>
      <c r="CA24" s="262" t="str">
        <f>IFERROR(IF(Tidstabel[[#This Row],[År]]&gt;Input_Tidshorisont,BlankTegn,
IF(Tidstabel[[#This Row],[År]]=0,0,Tidstabel[[#This Row],[AP_Uds?]]*-AP_Enhedspris*AP_Genoprettelse*((1+Tidstabel[[#This Row],[Kalkulationsrente]])^-Tidstabel[[#This Row],[År]])*((1+PrisudviklingGenerelt)^Tidstabel[[#This Row],[År]]))),BlankTegn)</f>
        <v>.</v>
      </c>
      <c r="CB24" s="245">
        <f>IFERROR(IF(Tidstabel[[#This Row],[År]]&gt;Input_Tidshorisont,BlankTegn,
IF(Tidstabel[[#This Row],[År]]=0,-SK_Enhedspris,0)),BlankTegn)</f>
        <v>0</v>
      </c>
      <c r="CC24" s="245" t="str">
        <f>IFERROR(IF(Tidstabel[[#This Row],[År]]&gt;Input_Tidshorisont,BlankTegn,
IF(Tidstabel[[#This Row],[År]]=0,SK_Enhedspris/SK_Levetid,CC23*((1+Tidstabel[[#This Row],[Kalkulationsrente]])^-1)*((1+PrisudviklingGenerelt)^1))),BlankTegn)</f>
        <v>.</v>
      </c>
      <c r="CD24" s="178" t="str">
        <f ca="1">IFERROR(IF(Tidstabel[[#This Row],[År]]&gt;Input_Tidshorisont,BlankTegn,
IF(SK_Vedligehold_i=1,IF(Tidstabel[[#This Row],[SK_Uds?]]=0,1,0),IF(MAX(CD23:OFFSET(CE23,2-SK_Vedligehold_i,0),Tidstabel[[#This Row],[SK_Uds?]])=0,1,0))),BlankTegn)</f>
        <v>.</v>
      </c>
      <c r="CE24" s="178" t="str">
        <f>IFERROR(IF(Tidstabel[[#This Row],[År]]&gt;Input_Tidshorisont,BlankTegn,
IF(Tidstabel[[#This Row],[År]]=0,1,IF(MOD(Tidstabel[[#This Row],[År]],SK_Levetid)=0,1,IF(Tidstabel[[#This Row],[År]]=Input_Tidshorisont,0,0)))),BlankTegn)</f>
        <v>.</v>
      </c>
      <c r="CF24" s="245" t="str">
        <f ca="1">IFERROR(IF(Tidstabel[[#This Row],[År]]&gt;Input_Tidshorisont,BlankTegn,
SK_Vedligehold_p*-SK_Enhedspris*Tidstabel[[#This Row],[SK_Ved?]]*((1+Tidstabel[[#This Row],[Kalkulationsrente]])^-Tidstabel[[#This Row],[År]])*((1+PrisudviklingGenerelt)^Tidstabel[[#This Row],[År]])),BlankTegn)</f>
        <v>.</v>
      </c>
      <c r="CG24" s="245" t="str">
        <f>IFERROR(IF(Tidstabel[[#This Row],[År]]&gt;Input_Tidshorisont,BlankTegn,
IF(Tidstabel[[#This Row],[År]]=0,SK_Enhedspris,SUM(CG23:CH23)*((1+Tidstabel[[#This Row],[Kalkulationsrente]])^-1)*((1+PrisudviklingGenerelt)^1)-Tidstabel[[#This Row],[SK_Afskrivning]])),BlankTegn)</f>
        <v>.</v>
      </c>
      <c r="CH24" s="245" t="str">
        <f>IFERROR(IF(Tidstabel[[#This Row],[År]]&gt;Input_Tidshorisont,BlankTegn,
IF(Tidstabel[[#This Row],[År]]=0,0,Tidstabel[[#This Row],[SK_Uds?]]*SK_Enhedspris*((1+Tidstabel[[#This Row],[Kalkulationsrente]])^-Tidstabel[[#This Row],[År]])*((1+PrisudviklingGenerelt)^Tidstabel[[#This Row],[År]]))),BlankTegn)</f>
        <v>.</v>
      </c>
      <c r="CI24" s="262" t="str">
        <f>IFERROR(IF(Tidstabel[[#This Row],[År]]&gt;Input_Tidshorisont,BlankTegn,
IF(Tidstabel[[#This Row],[År]]=0,0,Tidstabel[[#This Row],[SK_Uds?]]*-SK_Enhedspris*SK_Genoprettelse*((1+Tidstabel[[#This Row],[Kalkulationsrente]])^-Tidstabel[[#This Row],[År]])*((1+PrisudviklingGenerelt)^Tidstabel[[#This Row],[År]]))),BlankTegn)</f>
        <v>.</v>
      </c>
      <c r="CJ24" s="19"/>
    </row>
    <row r="25" spans="1:88">
      <c r="A25" s="250">
        <v>18</v>
      </c>
      <c r="B25" s="250">
        <f>Input_Etableringsår+Tidstabel[[#This Row],[År]]</f>
        <v>2042</v>
      </c>
      <c r="C25" s="274" cm="1">
        <f t="array" ref="C25">_xlfn.IFS(Tidstabel[[#This Row],[År]]&gt;KR_Trin3_Tærskel,KR_Trin3_Rente,Tidstabel[[#This Row],[År]]&gt;KR_Trin2_Tærskel,KR_Trin2_Rente,Tidstabel[[#This Row],[År]]&gt;KR_Trin1_Tærskel,KR_Trin1_Rente,Tidstabel[[#This Row],[År]]&gt;KR_Trin0_Tærskel,KR_Trin0_Rente)</f>
        <v>3.5000000000000003E-2</v>
      </c>
      <c r="D25" s="142" t="str" cm="1">
        <f t="array" ref="D25">IFERROR(
INDEX(Range_Materiale_ÅrligeEmissioner,MATCH(1,(Materialedata[Komponent]=FB_Titel)*(Materialedata[Materiale]=FB_Materiale),0),MATCH(Tidstabel[[#This Row],[År]],Range_Materiale_År,0)),BlankTegn)</f>
        <v>.</v>
      </c>
      <c r="E25" s="142" t="str" cm="1">
        <f t="array" ref="E25">IFERROR(
INDEX(Range_Materiale_ÅrligeEmissioner,MATCH(1,(Materialedata[Komponent]=SK_Titel)*(Materialedata[Materiale]=SK_Materiale),0),MATCH(Tidstabel[[#This Row],[År]],Range_Materiale_År,0)),BlankTegn)</f>
        <v>.</v>
      </c>
      <c r="F25" s="142" t="str" cm="1">
        <f t="array" ref="F25">IFERROR(
INDEX(Range_Materiale_ÅrligeEmissioner,MATCH(1,(Materialedata[Komponent]=EI_Titel)*(Materialedata[Materiale]=EI_Materiale),0),MATCH(Tidstabel[[#This Row],[År]],Range_Materiale_År,0)),BlankTegn)</f>
        <v>.</v>
      </c>
      <c r="G25" s="142" t="str" cm="1">
        <f t="array" ref="G25">IFERROR(
INDEX(Range_Materiale_ÅrligeEmissioner,MATCH(1,(Materialedata[Komponent]=AP_Titel)*(Materialedata[Materiale]=AP_Materiale),0),MATCH(Tidstabel[[#This Row],[År]],Range_Materiale_År,0)),BlankTegn)</f>
        <v>.</v>
      </c>
      <c r="H25" s="142" t="str" cm="1">
        <f t="array" ref="H25">IFERROR(
INDEX(Range_Materiale_ÅrligeEmissioner,MATCH(1,(Materialedata[Komponent]=VS_Titel)*(Materialedata[Materiale]=VS_Materiale),0),MATCH(Tidstabel[[#This Row],[År]],Range_Materiale_År,0)),BlankTegn)</f>
        <v>.</v>
      </c>
      <c r="I25" s="142" t="str">
        <f>IFERROR(
IF(SUM(Tidstabel[[#This Row],[Facadebeklædning]:[Vindspærre]])=0,BlankTegn,
SUM(Tidstabel[[#This Row],[Facadebeklædning]:[Vindspærre]])),BlankTegn)</f>
        <v>.</v>
      </c>
      <c r="J25" s="139">
        <f>IF(Tidstabel[[#This Row],[År]]&gt;Input_Tidshorisont,BlankTegn,
A5_ElVarmeBrændstofByggeplads)</f>
        <v>0.25</v>
      </c>
      <c r="K25" s="142" t="str">
        <f>IFERROR(IF(Tidstabel[[#This Row],[År]]&gt;Input_Tidshorisont,BlankTegn,
-1*INDEX(Range_Energi_ÅrligBesparelse,MATCH(Input_EksisterendeFacade,Energiberegning[Ydervæg],0),MATCH(Tidstabel[[#This Row],[Årstal]],Range_Energi_Årstal,0))),BlankTegn)</f>
        <v>.</v>
      </c>
      <c r="L25" s="142">
        <f>IF(Tidstabel[[#This Row],[År]]&gt;Input_Tidshorisont,BlankTegn,
(Tidstabel[[#This Row],[År]]+1)*(SUM(Vedligeholdelsesmaterialer[Facadefarve],Vedligeholdelsesmaterialer[Grunder og mellemmaling])/12+SUM(Vedligeholdelsesmaterialer[Puds])/30))</f>
        <v>6.1722314308333326</v>
      </c>
      <c r="M25" s="142" t="str">
        <f>IFERROR(IF(Tidstabel[[#This Row],[År]]&gt;Input_Tidshorisont,BlankTegn,
Tidstabel[[#This Row],[Materialer_Total]]+Tidstabel[[#This Row],[Byggeprocess]]),BlankTegn)</f>
        <v>.</v>
      </c>
      <c r="N25" s="142" t="str">
        <f>IFERROR(IF(Tidstabel[[#This Row],[År]]&gt;Input_Tidshorisont,BlankTegn,
Tidstabel[[#This Row],[Energibesparelse]]+Tidstabel[[#This Row],[Emission_Brutto]]),BlankTegn)</f>
        <v>.</v>
      </c>
      <c r="O25" s="142" t="str">
        <f>IFERROR(IF(Tidstabel[[#This Row],[År]]&gt;Input_Tidshorisont,BlankTegn,
Tidstabel[[#This Row],[Emission_Netto]]-Tidstabel[[#This Row],[Vedligehold_EksisterendeFacade]]),BlankTegn)</f>
        <v>.</v>
      </c>
      <c r="P25" s="271" t="str">
        <f>IFERROR(IF(Tidstabel[[#This Row],[År]]&gt;Input_Tidshorisont,BlankTegn,
IF(AND(Tidstabel[[#This Row],[Emission_Netto]]-Tidstabel[[#This Row],[Vedligehold_EksisterendeFacade]]&gt;0,N26-L26&lt;0),-1,IF(AND(Tidstabel[[#This Row],[Emission_Netto]]-Tidstabel[[#This Row],[Vedligehold_EksisterendeFacade]]&lt;0,N26-L26&gt;0),1,0))),BlankTegn)</f>
        <v>.</v>
      </c>
      <c r="Q25" s="174" t="str">
        <f>IF(Tidstabel[[#This Row],[År]]&gt;Input_Tidshorisont,BlankTegn,
IF(Tidstabel[[#This Row],[LCA-Skæring]]=-1,SUM(Tidstabel[[#This Row],[År]]*(1-ABS(Tidstabel[[#This Row],[LCA-Difference]])/(ABS(Tidstabel[[#This Row],[LCA-Difference]])+ABS(O26))),A26*(1-ABS(O26)/(ABS(Tidstabel[[#This Row],[LCA-Difference]])+ABS(O26)))),"-"))</f>
        <v>-</v>
      </c>
      <c r="R25" s="174" t="str">
        <f>IF(Tidstabel[[#This Row],[År]]&gt;Input_Tidshorisont,BlankTegn,
IF(Tidstabel[[#This Row],[LCA-Skæring]]=-1,SUM(Tidstabel[[#This Row],[Emission_Netto]]*(1-ABS(Tidstabel[[#This Row],[LCA-Difference]])/(ABS(Tidstabel[[#This Row],[LCA-Difference]])+ABS(O26))),N26*(1-ABS(O26)/(ABS(Tidstabel[[#This Row],[LCA-Difference]])+ABS(O26)))),"-"))</f>
        <v>-</v>
      </c>
      <c r="S25" s="174" t="str">
        <f>IF(Tidstabel[[#This Row],[År]]&gt;Input_Tidshorisont,BlankTegn,
IF(Tidstabel[[#This Row],[LCA-Skæring]]=1,SUM(Tidstabel[[#This Row],[År]]*(1-ABS(Tidstabel[[#This Row],[LCA-Difference]])/(ABS(Tidstabel[[#This Row],[LCA-Difference]])+ABS(O26))),A26*(1-ABS(O26)/(ABS(Tidstabel[[#This Row],[LCA-Difference]])+ABS(O26)))),"-"))</f>
        <v>-</v>
      </c>
      <c r="T25" s="264" t="str">
        <f>IF(Tidstabel[[#This Row],[År]]&gt;Input_Tidshorisont,BlankTegn,
IF(Tidstabel[[#This Row],[LCA-Skæring]]=1,SUM(Tidstabel[[#This Row],[Emission_Netto]]*(1-ABS(Tidstabel[[#This Row],[LCA-Difference]])/(ABS(Tidstabel[[#This Row],[LCA-Difference]])+ABS(O26))),N26*(1-ABS(O26)/(ABS(Tidstabel[[#This Row],[LCA-Difference]])+ABS(O26)))),"-"))</f>
        <v>-</v>
      </c>
      <c r="U25" s="142" t="str">
        <f ca="1">IFERROR(IF(Tidstabel[[#This Row],[År]]&gt;Input_Tidshorisont,BlankTegn,
Tidstabel[[#This Row],[NPV_Klimafacade]]-Tidstabel[[#This Row],[NPV_Eksisterende]]),BlankTegn)</f>
        <v>.</v>
      </c>
      <c r="V25" s="271" t="str">
        <f ca="1">IFERROR(IF(Tidstabel[[#This Row],[År]]&gt;Input_Tidshorisont,BlankTegn,
IF(AND(Tidstabel[[#This Row],[NPV_Klimafacade]]-Tidstabel[[#This Row],[NPV_Eksisterende]]&gt;0,AB26-AA26&lt;0),1,IF(AND(Tidstabel[[#This Row],[NPV_Klimafacade]]-Tidstabel[[#This Row],[NPV_Eksisterende]]&lt;0,AB26-AA26&gt;0),-1,0))),BlankTegn)</f>
        <v>.</v>
      </c>
      <c r="W25" s="174" t="str">
        <f ca="1">IF(Tidstabel[[#This Row],[År]]&gt;Input_Tidshorisont,BlankTegn,
IF(Tidstabel[[#This Row],[LCC-Skæring]]=-1,SUM(Tidstabel[[#This Row],[År]]*(1-ABS(Tidstabel[[#This Row],[LCC-Difference]])/(ABS(Tidstabel[[#This Row],[LCC-Difference]])+ABS(U26))),A26*(1-ABS(U26)/(ABS(Tidstabel[[#This Row],[LCC-Difference]])+ABS(U26)))),"-"))</f>
        <v>-</v>
      </c>
      <c r="X25" s="174" t="str">
        <f ca="1">IF(Tidstabel[[#This Row],[År]]&gt;Input_Tidshorisont,BlankTegn,
IF(Tidstabel[[#This Row],[LCC-Skæring]]=-1,SUM(Tidstabel[[#This Row],[NPV_Klimafacade]]*(1-ABS(Tidstabel[[#This Row],[LCC-Difference]])/(ABS(Tidstabel[[#This Row],[LCC-Difference]])+ABS(U26))),AB26*(1-ABS(U26)/(ABS(Tidstabel[[#This Row],[LCC-Difference]])+ABS(U26)))),"-"))</f>
        <v>-</v>
      </c>
      <c r="Y25" s="174" t="str">
        <f ca="1">IF(Tidstabel[[#This Row],[År]]&gt;Input_Tidshorisont,BlankTegn,
IF(Tidstabel[[#This Row],[LCC-Skæring]]=1,SUM(Tidstabel[[#This Row],[År]]*(1-ABS(Tidstabel[[#This Row],[LCC-Difference]])/(ABS(Tidstabel[[#This Row],[LCC-Difference]])+ABS(U26))),A26*(1-ABS(U26)/(ABS(Tidstabel[[#This Row],[LCC-Difference]])+ABS(U26)))),"-"))</f>
        <v>-</v>
      </c>
      <c r="Z25" s="264" t="str">
        <f ca="1">IF(Tidstabel[[#This Row],[År]]&gt;Input_Tidshorisont,BlankTegn,
IF(Tidstabel[[#This Row],[LCC-Skæring]]=1,SUM(Tidstabel[[#This Row],[NPV_Klimafacade]]*(1-ABS(Tidstabel[[#This Row],[LCC-Difference]])/(ABS(Tidstabel[[#This Row],[LCC-Difference]])+ABS(U26))),AB26*(1-ABS(U26)/(ABS(Tidstabel[[#This Row],[LCC-Difference]])+ABS(U26)))),"-"))</f>
        <v>-</v>
      </c>
      <c r="AA25" s="142">
        <f ca="1">IF(Tidstabel[[#This Row],[År]]&gt;Input_Tidshorisont,BlankTegn,
Tidstabel[[#This Row],[EF_Vedligehold_Aggregeret]])</f>
        <v>-151.09575361657468</v>
      </c>
      <c r="AB25"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25" s="142" t="str">
        <f>IFERROR(IF(Tidstabel[[#This Row],[År]]&gt;Input_Tidshorisont,BlankTegn,
Tidstabel[[#This Row],[KF_Anskaffelse_Aggregeret]]+Tidstabel[[#This Row],[KF_Engangsudgifter_Aggregeret]]),BlankTegn)</f>
        <v>.</v>
      </c>
      <c r="AD25" s="174">
        <f ca="1">IFERROR(IF(Tidstabel[[#This Row],[År]]&gt;Input_Tidshorisont,BlankTegn,
IF(Tidstabel[[#This Row],[År]]=0,0,Tidstabel[[#This Row],[NPV_Eksisterende]]*(Tidstabel[[#This Row],[Kalkulationsrente]]/(1-(1+Tidstabel[[#This Row],[Kalkulationsrente]])^-Tidstabel[[#This Row],[År]])))),BlankTegn)</f>
        <v>-11.455602700840037</v>
      </c>
      <c r="AE25" s="264" t="str">
        <f ca="1">IFERROR(IF(Tidstabel[[#This Row],[År]]&gt;Input_Tidshorisont,BlankTegn,
IF(Tidstabel[[#This Row],[År]]=0,0,Tidstabel[[#This Row],[NPV_Klimafacade]]*(Tidstabel[[#This Row],[Kalkulationsrente]]/(1-(1+Tidstabel[[#This Row],[Kalkulationsrente]])^-Tidstabel[[#This Row],[År]])))),BlankTegn)</f>
        <v>.</v>
      </c>
      <c r="AF25" s="270">
        <f ca="1">IF(Tidstabel[[#This Row],[År]]&gt;Input_Tidshorisont,BlankTegn,
IF(EF_Vedligehold_i=1,IF(Tidstabel[[#This Row],[EF_Uds?]]=0,1,0),IF(MAX(AF24:OFFSET(AG24,2-EF_Vedligehold_i,0),Tidstabel[[#This Row],[EF_Uds?]])=0,1,0)))</f>
        <v>1</v>
      </c>
      <c r="AG25" s="181">
        <f>IF(Tidstabel[[#This Row],[År]]&gt;Input_Tidshorisont,BlankTegn,0)</f>
        <v>0</v>
      </c>
      <c r="AH25" s="263">
        <f ca="1">IF(Tidstabel[[#This Row],[År]]&gt;Input_Tidshorisont,BlankTegn,
Tidstabel[[#This Row],[EF_Ved?]]*EF_Vedligehold_p*-EF_Enhedspris*((1+Tidstabel[[#This Row],[Kalkulationsrente]])^-Tidstabel[[#This Row],[År]])*((1+PrisudviklingGenerelt)^Tidstabel[[#This Row],[År]]))</f>
        <v>-5.7326220321548771</v>
      </c>
      <c r="AI25" s="262">
        <f ca="1">IF(Tidstabel[[#This Row],[År]]&gt;Input_Tidshorisont,BlankTegn,
IF(Tidstabel[[#This Row],[År]]=0,Tidstabel[[#This Row],[EF_Vedligehold]],AI24+Tidstabel[[#This Row],[EF_Vedligehold]]))</f>
        <v>-151.09575361657468</v>
      </c>
      <c r="AJ25" s="245">
        <f>IFERROR(IF(Tidstabel[[#This Row],[År]]&gt;Input_Tidshorisont,BlankTegn,
Tidstabel[[#This Row],[FB_Anskaffelse]]+Tidstabel[[#This Row],[VS_Anskaffelse]]+Tidstabel[[#This Row],[EI_Anskaffelse]]+Tidstabel[[#This Row],[AP_Anskaffelse]]+Tidstabel[[#This Row],[SK_Anskaffelse]]),BlankTegn)</f>
        <v>0</v>
      </c>
      <c r="AK25" s="245" t="str">
        <f>IFERROR(IF(Tidstabel[[#This Row],[År]]&gt;Input_Tidshorisont,BlankTegn,
IF(Tidstabel[[#This Row],[År]]=0,Tidstabel[[#This Row],[KF_Anskaffelse]],AK24+Tidstabel[[#This Row],[KF_Anskaffelse]])),BlankTegn)</f>
        <v>.</v>
      </c>
      <c r="AL25" s="246" t="str">
        <f ca="1">IFERROR(IF(Tidstabel[[#This Row],[År]]&gt;Input_Tidshorisont,BlankTegn,
Tidstabel[[#This Row],[FB_Vedligehold]]+Tidstabel[[#This Row],[VS_Vedligehold]]+Tidstabel[[#This Row],[EI_Vedligehold]]+Tidstabel[[#This Row],[AP_Vedligehold]]+Tidstabel[[#This Row],[SK_Vedligehold]]),BlankTegn)</f>
        <v>.</v>
      </c>
      <c r="AM25" s="245" t="str">
        <f ca="1">IFERROR(IF(Tidstabel[[#This Row],[År]]&gt;Input_Tidshorisont,BlankTegn,
IF(Tidstabel[[#This Row],[År]]=0,Tidstabel[[#This Row],[KF_Vedligehold]],AM24+Tidstabel[[#This Row],[KF_Vedligehold]])),BlankTegn)</f>
        <v>.</v>
      </c>
      <c r="AN25"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25"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25" s="245" t="str">
        <f>IFERROR(IF(Tidstabel[[#This Row],[År]]&gt;Input_Tidshorisont,BlankTegn,
IF(Tidstabel[[#This Row],[År]]=0,Tidstabel[[#This Row],[KF_Udskiftning_Komponent]],AP24+Tidstabel[[#This Row],[KF_Udskiftning_Komponent]])),BlankTegn)</f>
        <v>.</v>
      </c>
      <c r="AQ25" s="245">
        <f>IF(Tidstabel[[#This Row],[År]]&gt;Input_Tidshorisont,BlankTegn,
IF(Tidstabel[[#This Row],[År]]=0,-SUM(Engangsudgifter[Udgift]),0))</f>
        <v>0</v>
      </c>
      <c r="AR25" s="245">
        <f>IFERROR(IF(Tidstabel[[#This Row],[År]]&gt;Input_Tidshorisont,BlankTegn,
IF(Tidstabel[[#This Row],[År]]=0,Tidstabel[[#This Row],[KF_Engangsudgifter]],AR24+Tidstabel[[#This Row],[KF_Engangsudgifter]])),BlankTegn)</f>
        <v>0</v>
      </c>
      <c r="AS25" s="315" t="str">
        <f>IFERROR(IF(Tidstabel[[#This Row],[År]]&gt;Input_Tidshorisont,BlankTegn,
-Energibesparelse_Årlig),BlankTegn)</f>
        <v>.</v>
      </c>
      <c r="AT25" s="245" t="str">
        <f>IFERROR(IF(Tidstabel[[#This Row],[År]]&gt;Input_Tidshorisont,BlankTegn,
IF(Tidstabel[[#This Row],[År]]=0,0,-Tidstabel[[#This Row],[KF_Energiforbrug]]*Input_Fjernvarmepris*((1+Tidstabel[[#This Row],[Kalkulationsrente]])^-Tidstabel[[#This Row],[År]])*((1+PrisudviklingFjernvarme)^Tidstabel[[#This Row],[År]]))),BlankTegn)</f>
        <v>.</v>
      </c>
      <c r="AU25" s="262" t="str">
        <f>IFERROR(IF(Tidstabel[[#This Row],[År]]&gt;Input_Tidshorisont,BlankTegn,
IF(Tidstabel[[#This Row],[År]]=0,Tidstabel[[#This Row],[KF_Forsyning]],AU24+Tidstabel[[#This Row],[KF_Forsyning]])),BlankTegn)</f>
        <v>.</v>
      </c>
      <c r="AV25" s="245">
        <f>IFERROR(IF(Tidstabel[[#This Row],[År]]&gt;Input_Tidshorisont,BlankTegn,
IF(Tidstabel[[#This Row],[År]]=0,-FB_Enhedspris,0)),BlankTegn)</f>
        <v>0</v>
      </c>
      <c r="AW25" s="245" t="str">
        <f>IFERROR(IF(Tidstabel[[#This Row],[År]]&gt;Input_Tidshorisont,BlankTegn,
IF(Tidstabel[[#This Row],[År]]=0,FB_Enhedspris/FB_Levetid,AW24*((1+Tidstabel[[#This Row],[Kalkulationsrente]])^-1)*((1+PrisudviklingGenerelt)^1))),BlankTegn)</f>
        <v>.</v>
      </c>
      <c r="AX25" s="178" t="str">
        <f ca="1">IFERROR(IF(Tidstabel[[#This Row],[År]]&gt;Input_Tidshorisont,BlankTegn,
IF(FB_Vedligehold_i=1,IF(Tidstabel[[#This Row],[FB_Uds?]]=0,1,0),IF(MAX(AX24:OFFSET(AY24,2-FB_Vedligehold_i,0),Tidstabel[[#This Row],[FB_Uds?]])=0,1,0))),BlankTegn)</f>
        <v>.</v>
      </c>
      <c r="AY25" s="178" t="str">
        <f>IFERROR(IF(Tidstabel[[#This Row],[År]]&gt;Input_Tidshorisont,BlankTegn,
IF(Tidstabel[[#This Row],[År]]=0,1,IF(MOD(Tidstabel[[#This Row],[År]],FB_Levetid)=0,1,IF(Tidstabel[[#This Row],[År]]=Input_Tidshorisont,0,0)))),BlankTegn)</f>
        <v>.</v>
      </c>
      <c r="AZ25" s="245" t="str">
        <f ca="1">IFERROR(IF(Tidstabel[[#This Row],[År]]&gt;Input_Tidshorisont,BlankTegn,
FB_Vedligehold_p*-FB_Enhedspris*Tidstabel[[#This Row],[FB_Ved?]]*((1+Tidstabel[[#This Row],[Kalkulationsrente]])^-Tidstabel[[#This Row],[År]])*((1+PrisudviklingGenerelt)^Tidstabel[[#This Row],[År]])),BlankTegn)</f>
        <v>.</v>
      </c>
      <c r="BA25" s="245" t="str">
        <f>IFERROR(IF(Tidstabel[[#This Row],[År]]&gt;Input_Tidshorisont,BlankTegn,
IF(Tidstabel[[#This Row],[År]]=0,FB_Enhedspris,SUM(BA24:BB24)*((1+Tidstabel[[#This Row],[Kalkulationsrente]])^-1)*((1+PrisudviklingGenerelt)^1)-Tidstabel[[#This Row],[FB_Afskrivning]])),BlankTegn)</f>
        <v>.</v>
      </c>
      <c r="BB25" s="245" t="str">
        <f>IFERROR(IF(Tidstabel[[#This Row],[År]]&gt;Input_Tidshorisont,BlankTegn,
IF(Tidstabel[[#This Row],[År]]=0,0,Tidstabel[[#This Row],[FB_Uds?]]*FB_Enhedspris*((1+Tidstabel[[#This Row],[Kalkulationsrente]])^-Tidstabel[[#This Row],[År]])*((1+PrisudviklingGenerelt)^Tidstabel[[#This Row],[År]]))),BlankTegn)</f>
        <v>.</v>
      </c>
      <c r="BC25" s="262" t="str">
        <f>IFERROR(IF(Tidstabel[[#This Row],[År]]&gt;Input_Tidshorisont,BlankTegn,
IF(Tidstabel[[#This Row],[År]]=0,0,Tidstabel[[#This Row],[FB_Uds?]]*-FB_Enhedspris*FB_Genoprettelse*((1+Tidstabel[[#This Row],[Kalkulationsrente]])^-Tidstabel[[#This Row],[År]])*((1+PrisudviklingGenerelt)^Tidstabel[[#This Row],[År]]))),BlankTegn)</f>
        <v>.</v>
      </c>
      <c r="BD25" s="245">
        <f>IFERROR(IF(Tidstabel[[#This Row],[År]]&gt;Input_Tidshorisont,BlankTegn,
IF(Tidstabel[[#This Row],[År]]=0,-VS_Enhedspris,0)),BlankTegn)</f>
        <v>0</v>
      </c>
      <c r="BE25" s="245" t="str">
        <f>IFERROR(IF(Tidstabel[[#This Row],[År]]&gt;Input_Tidshorisont,BlankTegn,
IF(Tidstabel[[#This Row],[År]]=0,VS_Enhedspris/VS_Levetid,BE24*((1+Tidstabel[[#This Row],[Kalkulationsrente]])^-1)*((1+PrisudviklingGenerelt)^1))),BlankTegn)</f>
        <v>.</v>
      </c>
      <c r="BF25" s="178" t="str">
        <f ca="1">IFERROR(IF(Tidstabel[[#This Row],[År]]&gt;Input_Tidshorisont,BlankTegn,
IF(VS_Vedligehold_i=1,IF(Tidstabel[[#This Row],[VS_Uds?]]=0,1,0),IF(MAX(BF24:OFFSET(BG24,2-VS_Vedligehold_i,0),Tidstabel[[#This Row],[VS_Uds?]])=0,1,0))),BlankTegn)</f>
        <v>.</v>
      </c>
      <c r="BG25" s="178" t="str">
        <f>IFERROR(IF(Tidstabel[[#This Row],[År]]&gt;Input_Tidshorisont,BlankTegn,
IF(Tidstabel[[#This Row],[År]]=0,1,IF(MOD(Tidstabel[[#This Row],[År]],VS_Levetid)=0,1,IF(Tidstabel[[#This Row],[År]]=Input_Tidshorisont,0,0)))),BlankTegn)</f>
        <v>.</v>
      </c>
      <c r="BH25" s="245" t="str">
        <f ca="1">IFERROR(IF(Tidstabel[[#This Row],[År]]&gt;Input_Tidshorisont,BlankTegn,
VS_Vedligehold_p*-VS_Enhedspris*Tidstabel[[#This Row],[VS_Ved?]]*((1+Tidstabel[[#This Row],[Kalkulationsrente]])^-Tidstabel[[#This Row],[År]])*((1+PrisudviklingGenerelt)^Tidstabel[[#This Row],[År]])),BlankTegn)</f>
        <v>.</v>
      </c>
      <c r="BI25" s="245" t="str">
        <f>IFERROR(IF(Tidstabel[[#This Row],[År]]&gt;Input_Tidshorisont,BlankTegn,
IF(Tidstabel[[#This Row],[År]]=0,VS_Enhedspris,SUM(BI24:BJ24)*((1+Tidstabel[[#This Row],[Kalkulationsrente]])^-1)*((1+PrisudviklingGenerelt)^1)-Tidstabel[[#This Row],[VS_Afskrivning]])),BlankTegn)</f>
        <v>.</v>
      </c>
      <c r="BJ25" s="245" t="str">
        <f>IFERROR(IF(Tidstabel[[#This Row],[År]]&gt;Input_Tidshorisont,BlankTegn,
IF(Tidstabel[[#This Row],[År]]=0,0,Tidstabel[[#This Row],[VS_Uds?]]*VS_Enhedspris*((1+Tidstabel[[#This Row],[Kalkulationsrente]])^-Tidstabel[[#This Row],[År]])*((1+PrisudviklingGenerelt)^Tidstabel[[#This Row],[År]]))),BlankTegn)</f>
        <v>.</v>
      </c>
      <c r="BK25" s="262" t="str">
        <f>IFERROR(IF(Tidstabel[[#This Row],[År]]&gt;Input_Tidshorisont,BlankTegn,
IF(Tidstabel[[#This Row],[År]]=0,0,Tidstabel[[#This Row],[VS_Uds?]]*-VS_Enhedspris*VS_Genoprettelse*((1+Tidstabel[[#This Row],[Kalkulationsrente]])^-Tidstabel[[#This Row],[År]])*((1+PrisudviklingGenerelt)^Tidstabel[[#This Row],[År]]))),BlankTegn)</f>
        <v>.</v>
      </c>
      <c r="BL25" s="245">
        <f>IFERROR(IF(Tidstabel[[#This Row],[År]]&gt;Input_Tidshorisont,BlankTegn,
IF(Tidstabel[[#This Row],[År]]=0,-EI_Enhedspris,0)),BlankTegn)</f>
        <v>0</v>
      </c>
      <c r="BM25" s="245" t="str">
        <f>IFERROR(IF(Tidstabel[[#This Row],[År]]&gt;Input_Tidshorisont,BlankTegn,
IF(Tidstabel[[#This Row],[År]]=0,EI_Enhedspris/EI_Levetid,BM24*((1+Tidstabel[[#This Row],[Kalkulationsrente]])^-1)*((1+PrisudviklingGenerelt)^1))),BlankTegn)</f>
        <v>.</v>
      </c>
      <c r="BN25" s="178" t="str">
        <f ca="1">IFERROR(IF(Tidstabel[[#This Row],[År]]&gt;Input_Tidshorisont,BlankTegn,
IF(EI_Vedligehold_i=1,IF(Tidstabel[[#This Row],[EI_Uds?]]=0,1,0),IF(MAX(BN24:OFFSET(BO24,2-EI_Vedligehold_i,0),Tidstabel[[#This Row],[EI_Uds?]])=0,1,0))),BlankTegn)</f>
        <v>.</v>
      </c>
      <c r="BO25" s="178" t="str">
        <f>IFERROR(IF(Tidstabel[[#This Row],[År]]&gt;Input_Tidshorisont,BlankTegn,
IF(Tidstabel[[#This Row],[År]]=0,1,IF(MOD(Tidstabel[[#This Row],[År]],EI_Levetid)=0,1,IF(Tidstabel[[#This Row],[År]]=Input_Tidshorisont,0,0)))),BlankTegn)</f>
        <v>.</v>
      </c>
      <c r="BP25" s="245" t="str">
        <f ca="1">IFERROR(IF(Tidstabel[[#This Row],[År]]&gt;Input_Tidshorisont,BlankTegn,
EI_Vedligehold_p*-EI_Enhedspris*Tidstabel[[#This Row],[EI_Ved?]]*((1+Tidstabel[[#This Row],[Kalkulationsrente]])^-Tidstabel[[#This Row],[År]])*((1+PrisudviklingGenerelt)^Tidstabel[[#This Row],[År]])),BlankTegn)</f>
        <v>.</v>
      </c>
      <c r="BQ25" s="245" t="str">
        <f>IFERROR(IF(Tidstabel[[#This Row],[År]]&gt;Input_Tidshorisont,BlankTegn,
IF(Tidstabel[[#This Row],[År]]=0,EI_Enhedspris,SUM(BQ24:BR24)*((1+Tidstabel[[#This Row],[Kalkulationsrente]])^-1)*((1+PrisudviklingGenerelt)^1)-Tidstabel[[#This Row],[EI_Afskrivning]])),BlankTegn)</f>
        <v>.</v>
      </c>
      <c r="BR25" s="245" t="str">
        <f>IFERROR(IF(Tidstabel[[#This Row],[År]]&gt;Input_Tidshorisont,BlankTegn,
IF(Tidstabel[[#This Row],[År]]=0,0,Tidstabel[[#This Row],[EI_Uds?]]*EI_Enhedspris*((1+Tidstabel[[#This Row],[Kalkulationsrente]])^-Tidstabel[[#This Row],[År]])*((1+PrisudviklingGenerelt)^Tidstabel[[#This Row],[År]]))),BlankTegn)</f>
        <v>.</v>
      </c>
      <c r="BS25" s="262" t="str">
        <f>IFERROR(IF(Tidstabel[[#This Row],[År]]&gt;Input_Tidshorisont,BlankTegn,
IF(Tidstabel[[#This Row],[År]]=0,0,Tidstabel[[#This Row],[EI_Uds?]]*-EI_Enhedspris*EI_Genoprettelse*((1+Tidstabel[[#This Row],[Kalkulationsrente]])^-Tidstabel[[#This Row],[År]])*((1+PrisudviklingGenerelt)^Tidstabel[[#This Row],[År]]))),BlankTegn)</f>
        <v>.</v>
      </c>
      <c r="BT25" s="245">
        <f>IFERROR(IF(Tidstabel[[#This Row],[År]]&gt;Input_Tidshorisont,BlankTegn,
IF(Tidstabel[[#This Row],[År]]=0,-AP_Enhedspris,0)),BlankTegn)</f>
        <v>0</v>
      </c>
      <c r="BU25" s="245" t="str">
        <f>IFERROR(IF(Tidstabel[[#This Row],[År]]&gt;Input_Tidshorisont,BlankTegn,
IF(Tidstabel[[#This Row],[År]]=0,AP_Enhedspris/AP_Levetid,BU24*((1+Tidstabel[[#This Row],[Kalkulationsrente]])^-1)*((1+PrisudviklingGenerelt)^1))),BlankTegn)</f>
        <v>.</v>
      </c>
      <c r="BV25" s="178" t="str">
        <f ca="1">IFERROR(IF(Tidstabel[[#This Row],[År]]&gt;Input_Tidshorisont,BlankTegn,
IF(AP_Vedligehold_i=1,IF(Tidstabel[[#This Row],[AP_Uds?]]=0,1,0),IF(MAX(BV24:OFFSET(BW24,2-AP_Vedligehold_i,0),Tidstabel[[#This Row],[AP_Uds?]])=0,1,0))),BlankTegn)</f>
        <v>.</v>
      </c>
      <c r="BW25" s="178" t="str">
        <f>IFERROR(IF(Tidstabel[[#This Row],[År]]&gt;Input_Tidshorisont,BlankTegn,
IF(Tidstabel[[#This Row],[År]]=0,1,IF(MOD(Tidstabel[[#This Row],[År]],AP_Levetid)=0,1,IF(Tidstabel[[#This Row],[År]]=Input_Tidshorisont,0,0)))),BlankTegn)</f>
        <v>.</v>
      </c>
      <c r="BX25" s="245" t="str">
        <f ca="1">IFERROR(IF(Tidstabel[[#This Row],[År]]&gt;Input_Tidshorisont,BlankTegn,
AP_Vedligehold_p*-AP_Enhedspris*Tidstabel[[#This Row],[AP_Ved?]]*((1+Tidstabel[[#This Row],[Kalkulationsrente]])^-Tidstabel[[#This Row],[År]])*((1+PrisudviklingGenerelt)^Tidstabel[[#This Row],[År]])),BlankTegn)</f>
        <v>.</v>
      </c>
      <c r="BY25" s="245" t="str">
        <f>IFERROR(IF(Tidstabel[[#This Row],[År]]&gt;Input_Tidshorisont,BlankTegn,
IF(Tidstabel[[#This Row],[År]]=0,AP_Enhedspris,SUM(BY24:BZ24)*((1+Tidstabel[[#This Row],[Kalkulationsrente]])^-1)*((1+PrisudviklingGenerelt)^1)-Tidstabel[[#This Row],[AP_Afskrivning]])),BlankTegn)</f>
        <v>.</v>
      </c>
      <c r="BZ25" s="245" t="str">
        <f>IFERROR(IF(Tidstabel[[#This Row],[År]]&gt;Input_Tidshorisont,BlankTegn,
IF(Tidstabel[[#This Row],[År]]=0,0,Tidstabel[[#This Row],[AP_Uds?]]*AP_Enhedspris*((1+Tidstabel[[#This Row],[Kalkulationsrente]])^-Tidstabel[[#This Row],[År]])*((1+PrisudviklingGenerelt)^Tidstabel[[#This Row],[År]]))),BlankTegn)</f>
        <v>.</v>
      </c>
      <c r="CA25" s="262" t="str">
        <f>IFERROR(IF(Tidstabel[[#This Row],[År]]&gt;Input_Tidshorisont,BlankTegn,
IF(Tidstabel[[#This Row],[År]]=0,0,Tidstabel[[#This Row],[AP_Uds?]]*-AP_Enhedspris*AP_Genoprettelse*((1+Tidstabel[[#This Row],[Kalkulationsrente]])^-Tidstabel[[#This Row],[År]])*((1+PrisudviklingGenerelt)^Tidstabel[[#This Row],[År]]))),BlankTegn)</f>
        <v>.</v>
      </c>
      <c r="CB25" s="245">
        <f>IFERROR(IF(Tidstabel[[#This Row],[År]]&gt;Input_Tidshorisont,BlankTegn,
IF(Tidstabel[[#This Row],[År]]=0,-SK_Enhedspris,0)),BlankTegn)</f>
        <v>0</v>
      </c>
      <c r="CC25" s="245" t="str">
        <f>IFERROR(IF(Tidstabel[[#This Row],[År]]&gt;Input_Tidshorisont,BlankTegn,
IF(Tidstabel[[#This Row],[År]]=0,SK_Enhedspris/SK_Levetid,CC24*((1+Tidstabel[[#This Row],[Kalkulationsrente]])^-1)*((1+PrisudviklingGenerelt)^1))),BlankTegn)</f>
        <v>.</v>
      </c>
      <c r="CD25" s="178" t="str">
        <f ca="1">IFERROR(IF(Tidstabel[[#This Row],[År]]&gt;Input_Tidshorisont,BlankTegn,
IF(SK_Vedligehold_i=1,IF(Tidstabel[[#This Row],[SK_Uds?]]=0,1,0),IF(MAX(CD24:OFFSET(CE24,2-SK_Vedligehold_i,0),Tidstabel[[#This Row],[SK_Uds?]])=0,1,0))),BlankTegn)</f>
        <v>.</v>
      </c>
      <c r="CE25" s="178" t="str">
        <f>IFERROR(IF(Tidstabel[[#This Row],[År]]&gt;Input_Tidshorisont,BlankTegn,
IF(Tidstabel[[#This Row],[År]]=0,1,IF(MOD(Tidstabel[[#This Row],[År]],SK_Levetid)=0,1,IF(Tidstabel[[#This Row],[År]]=Input_Tidshorisont,0,0)))),BlankTegn)</f>
        <v>.</v>
      </c>
      <c r="CF25" s="245" t="str">
        <f ca="1">IFERROR(IF(Tidstabel[[#This Row],[År]]&gt;Input_Tidshorisont,BlankTegn,
SK_Vedligehold_p*-SK_Enhedspris*Tidstabel[[#This Row],[SK_Ved?]]*((1+Tidstabel[[#This Row],[Kalkulationsrente]])^-Tidstabel[[#This Row],[År]])*((1+PrisudviklingGenerelt)^Tidstabel[[#This Row],[År]])),BlankTegn)</f>
        <v>.</v>
      </c>
      <c r="CG25" s="245" t="str">
        <f>IFERROR(IF(Tidstabel[[#This Row],[År]]&gt;Input_Tidshorisont,BlankTegn,
IF(Tidstabel[[#This Row],[År]]=0,SK_Enhedspris,SUM(CG24:CH24)*((1+Tidstabel[[#This Row],[Kalkulationsrente]])^-1)*((1+PrisudviklingGenerelt)^1)-Tidstabel[[#This Row],[SK_Afskrivning]])),BlankTegn)</f>
        <v>.</v>
      </c>
      <c r="CH25" s="245" t="str">
        <f>IFERROR(IF(Tidstabel[[#This Row],[År]]&gt;Input_Tidshorisont,BlankTegn,
IF(Tidstabel[[#This Row],[År]]=0,0,Tidstabel[[#This Row],[SK_Uds?]]*SK_Enhedspris*((1+Tidstabel[[#This Row],[Kalkulationsrente]])^-Tidstabel[[#This Row],[År]])*((1+PrisudviklingGenerelt)^Tidstabel[[#This Row],[År]]))),BlankTegn)</f>
        <v>.</v>
      </c>
      <c r="CI25" s="262" t="str">
        <f>IFERROR(IF(Tidstabel[[#This Row],[År]]&gt;Input_Tidshorisont,BlankTegn,
IF(Tidstabel[[#This Row],[År]]=0,0,Tidstabel[[#This Row],[SK_Uds?]]*-SK_Enhedspris*SK_Genoprettelse*((1+Tidstabel[[#This Row],[Kalkulationsrente]])^-Tidstabel[[#This Row],[År]])*((1+PrisudviklingGenerelt)^Tidstabel[[#This Row],[År]]))),BlankTegn)</f>
        <v>.</v>
      </c>
      <c r="CJ25" s="19"/>
    </row>
    <row r="26" spans="1:88">
      <c r="A26" s="250">
        <v>19</v>
      </c>
      <c r="B26" s="250">
        <f>Input_Etableringsår+Tidstabel[[#This Row],[År]]</f>
        <v>2043</v>
      </c>
      <c r="C26" s="274" cm="1">
        <f t="array" ref="C26">_xlfn.IFS(Tidstabel[[#This Row],[År]]&gt;KR_Trin3_Tærskel,KR_Trin3_Rente,Tidstabel[[#This Row],[År]]&gt;KR_Trin2_Tærskel,KR_Trin2_Rente,Tidstabel[[#This Row],[År]]&gt;KR_Trin1_Tærskel,KR_Trin1_Rente,Tidstabel[[#This Row],[År]]&gt;KR_Trin0_Tærskel,KR_Trin0_Rente)</f>
        <v>3.5000000000000003E-2</v>
      </c>
      <c r="D26" s="142" t="str" cm="1">
        <f t="array" ref="D26">IFERROR(
INDEX(Range_Materiale_ÅrligeEmissioner,MATCH(1,(Materialedata[Komponent]=FB_Titel)*(Materialedata[Materiale]=FB_Materiale),0),MATCH(Tidstabel[[#This Row],[År]],Range_Materiale_År,0)),BlankTegn)</f>
        <v>.</v>
      </c>
      <c r="E26" s="142" t="str" cm="1">
        <f t="array" ref="E26">IFERROR(
INDEX(Range_Materiale_ÅrligeEmissioner,MATCH(1,(Materialedata[Komponent]=SK_Titel)*(Materialedata[Materiale]=SK_Materiale),0),MATCH(Tidstabel[[#This Row],[År]],Range_Materiale_År,0)),BlankTegn)</f>
        <v>.</v>
      </c>
      <c r="F26" s="142" t="str" cm="1">
        <f t="array" ref="F26">IFERROR(
INDEX(Range_Materiale_ÅrligeEmissioner,MATCH(1,(Materialedata[Komponent]=EI_Titel)*(Materialedata[Materiale]=EI_Materiale),0),MATCH(Tidstabel[[#This Row],[År]],Range_Materiale_År,0)),BlankTegn)</f>
        <v>.</v>
      </c>
      <c r="G26" s="142" t="str" cm="1">
        <f t="array" ref="G26">IFERROR(
INDEX(Range_Materiale_ÅrligeEmissioner,MATCH(1,(Materialedata[Komponent]=AP_Titel)*(Materialedata[Materiale]=AP_Materiale),0),MATCH(Tidstabel[[#This Row],[År]],Range_Materiale_År,0)),BlankTegn)</f>
        <v>.</v>
      </c>
      <c r="H26" s="142" t="str" cm="1">
        <f t="array" ref="H26">IFERROR(
INDEX(Range_Materiale_ÅrligeEmissioner,MATCH(1,(Materialedata[Komponent]=VS_Titel)*(Materialedata[Materiale]=VS_Materiale),0),MATCH(Tidstabel[[#This Row],[År]],Range_Materiale_År,0)),BlankTegn)</f>
        <v>.</v>
      </c>
      <c r="I26" s="142" t="str">
        <f>IFERROR(
IF(SUM(Tidstabel[[#This Row],[Facadebeklædning]:[Vindspærre]])=0,BlankTegn,
SUM(Tidstabel[[#This Row],[Facadebeklædning]:[Vindspærre]])),BlankTegn)</f>
        <v>.</v>
      </c>
      <c r="J26" s="139">
        <f>IF(Tidstabel[[#This Row],[År]]&gt;Input_Tidshorisont,BlankTegn,
A5_ElVarmeBrændstofByggeplads)</f>
        <v>0.25</v>
      </c>
      <c r="K26" s="142" t="str">
        <f>IFERROR(IF(Tidstabel[[#This Row],[År]]&gt;Input_Tidshorisont,BlankTegn,
-1*INDEX(Range_Energi_ÅrligBesparelse,MATCH(Input_EksisterendeFacade,Energiberegning[Ydervæg],0),MATCH(Tidstabel[[#This Row],[Årstal]],Range_Energi_Årstal,0))),BlankTegn)</f>
        <v>.</v>
      </c>
      <c r="L26" s="142">
        <f>IF(Tidstabel[[#This Row],[År]]&gt;Input_Tidshorisont,BlankTegn,
(Tidstabel[[#This Row],[År]]+1)*(SUM(Vedligeholdelsesmaterialer[Facadefarve],Vedligeholdelsesmaterialer[Grunder og mellemmaling])/12+SUM(Vedligeholdelsesmaterialer[Puds])/30))</f>
        <v>6.4970857166666658</v>
      </c>
      <c r="M26" s="142" t="str">
        <f>IFERROR(IF(Tidstabel[[#This Row],[År]]&gt;Input_Tidshorisont,BlankTegn,
Tidstabel[[#This Row],[Materialer_Total]]+Tidstabel[[#This Row],[Byggeprocess]]),BlankTegn)</f>
        <v>.</v>
      </c>
      <c r="N26" s="142" t="str">
        <f>IFERROR(IF(Tidstabel[[#This Row],[År]]&gt;Input_Tidshorisont,BlankTegn,
Tidstabel[[#This Row],[Energibesparelse]]+Tidstabel[[#This Row],[Emission_Brutto]]),BlankTegn)</f>
        <v>.</v>
      </c>
      <c r="O26" s="142" t="str">
        <f>IFERROR(IF(Tidstabel[[#This Row],[År]]&gt;Input_Tidshorisont,BlankTegn,
Tidstabel[[#This Row],[Emission_Netto]]-Tidstabel[[#This Row],[Vedligehold_EksisterendeFacade]]),BlankTegn)</f>
        <v>.</v>
      </c>
      <c r="P26" s="271" t="str">
        <f>IFERROR(IF(Tidstabel[[#This Row],[År]]&gt;Input_Tidshorisont,BlankTegn,
IF(AND(Tidstabel[[#This Row],[Emission_Netto]]-Tidstabel[[#This Row],[Vedligehold_EksisterendeFacade]]&gt;0,N27-L27&lt;0),-1,IF(AND(Tidstabel[[#This Row],[Emission_Netto]]-Tidstabel[[#This Row],[Vedligehold_EksisterendeFacade]]&lt;0,N27-L27&gt;0),1,0))),BlankTegn)</f>
        <v>.</v>
      </c>
      <c r="Q26" s="174" t="str">
        <f>IF(Tidstabel[[#This Row],[År]]&gt;Input_Tidshorisont,BlankTegn,
IF(Tidstabel[[#This Row],[LCA-Skæring]]=-1,SUM(Tidstabel[[#This Row],[År]]*(1-ABS(Tidstabel[[#This Row],[LCA-Difference]])/(ABS(Tidstabel[[#This Row],[LCA-Difference]])+ABS(O27))),A27*(1-ABS(O27)/(ABS(Tidstabel[[#This Row],[LCA-Difference]])+ABS(O27)))),"-"))</f>
        <v>-</v>
      </c>
      <c r="R26" s="174" t="str">
        <f>IF(Tidstabel[[#This Row],[År]]&gt;Input_Tidshorisont,BlankTegn,
IF(Tidstabel[[#This Row],[LCA-Skæring]]=-1,SUM(Tidstabel[[#This Row],[Emission_Netto]]*(1-ABS(Tidstabel[[#This Row],[LCA-Difference]])/(ABS(Tidstabel[[#This Row],[LCA-Difference]])+ABS(O27))),N27*(1-ABS(O27)/(ABS(Tidstabel[[#This Row],[LCA-Difference]])+ABS(O27)))),"-"))</f>
        <v>-</v>
      </c>
      <c r="S26" s="174" t="str">
        <f>IF(Tidstabel[[#This Row],[År]]&gt;Input_Tidshorisont,BlankTegn,
IF(Tidstabel[[#This Row],[LCA-Skæring]]=1,SUM(Tidstabel[[#This Row],[År]]*(1-ABS(Tidstabel[[#This Row],[LCA-Difference]])/(ABS(Tidstabel[[#This Row],[LCA-Difference]])+ABS(O27))),A27*(1-ABS(O27)/(ABS(Tidstabel[[#This Row],[LCA-Difference]])+ABS(O27)))),"-"))</f>
        <v>-</v>
      </c>
      <c r="T26" s="264" t="str">
        <f>IF(Tidstabel[[#This Row],[År]]&gt;Input_Tidshorisont,BlankTegn,
IF(Tidstabel[[#This Row],[LCA-Skæring]]=1,SUM(Tidstabel[[#This Row],[Emission_Netto]]*(1-ABS(Tidstabel[[#This Row],[LCA-Difference]])/(ABS(Tidstabel[[#This Row],[LCA-Difference]])+ABS(O27))),N27*(1-ABS(O27)/(ABS(Tidstabel[[#This Row],[LCA-Difference]])+ABS(O27)))),"-"))</f>
        <v>-</v>
      </c>
      <c r="U26" s="142" t="str">
        <f ca="1">IFERROR(IF(Tidstabel[[#This Row],[År]]&gt;Input_Tidshorisont,BlankTegn,
Tidstabel[[#This Row],[NPV_Klimafacade]]-Tidstabel[[#This Row],[NPV_Eksisterende]]),BlankTegn)</f>
        <v>.</v>
      </c>
      <c r="V26" s="271" t="str">
        <f ca="1">IFERROR(IF(Tidstabel[[#This Row],[År]]&gt;Input_Tidshorisont,BlankTegn,
IF(AND(Tidstabel[[#This Row],[NPV_Klimafacade]]-Tidstabel[[#This Row],[NPV_Eksisterende]]&gt;0,AB27-AA27&lt;0),1,IF(AND(Tidstabel[[#This Row],[NPV_Klimafacade]]-Tidstabel[[#This Row],[NPV_Eksisterende]]&lt;0,AB27-AA27&gt;0),-1,0))),BlankTegn)</f>
        <v>.</v>
      </c>
      <c r="W26" s="174" t="str">
        <f ca="1">IF(Tidstabel[[#This Row],[År]]&gt;Input_Tidshorisont,BlankTegn,
IF(Tidstabel[[#This Row],[LCC-Skæring]]=-1,SUM(Tidstabel[[#This Row],[År]]*(1-ABS(Tidstabel[[#This Row],[LCC-Difference]])/(ABS(Tidstabel[[#This Row],[LCC-Difference]])+ABS(U27))),A27*(1-ABS(U27)/(ABS(Tidstabel[[#This Row],[LCC-Difference]])+ABS(U27)))),"-"))</f>
        <v>-</v>
      </c>
      <c r="X26" s="174" t="str">
        <f ca="1">IF(Tidstabel[[#This Row],[År]]&gt;Input_Tidshorisont,BlankTegn,
IF(Tidstabel[[#This Row],[LCC-Skæring]]=-1,SUM(Tidstabel[[#This Row],[NPV_Klimafacade]]*(1-ABS(Tidstabel[[#This Row],[LCC-Difference]])/(ABS(Tidstabel[[#This Row],[LCC-Difference]])+ABS(U27))),AB27*(1-ABS(U27)/(ABS(Tidstabel[[#This Row],[LCC-Difference]])+ABS(U27)))),"-"))</f>
        <v>-</v>
      </c>
      <c r="Y26" s="174" t="str">
        <f ca="1">IF(Tidstabel[[#This Row],[År]]&gt;Input_Tidshorisont,BlankTegn,
IF(Tidstabel[[#This Row],[LCC-Skæring]]=1,SUM(Tidstabel[[#This Row],[År]]*(1-ABS(Tidstabel[[#This Row],[LCC-Difference]])/(ABS(Tidstabel[[#This Row],[LCC-Difference]])+ABS(U27))),A27*(1-ABS(U27)/(ABS(Tidstabel[[#This Row],[LCC-Difference]])+ABS(U27)))),"-"))</f>
        <v>-</v>
      </c>
      <c r="Z26" s="264" t="str">
        <f ca="1">IF(Tidstabel[[#This Row],[År]]&gt;Input_Tidshorisont,BlankTegn,
IF(Tidstabel[[#This Row],[LCC-Skæring]]=1,SUM(Tidstabel[[#This Row],[NPV_Klimafacade]]*(1-ABS(Tidstabel[[#This Row],[LCC-Difference]])/(ABS(Tidstabel[[#This Row],[LCC-Difference]])+ABS(U27))),AB27*(1-ABS(U27)/(ABS(Tidstabel[[#This Row],[LCC-Difference]])+ABS(U27)))),"-"))</f>
        <v>-</v>
      </c>
      <c r="AA26" s="142">
        <f ca="1">IF(Tidstabel[[#This Row],[År]]&gt;Input_Tidshorisont,BlankTegn,
Tidstabel[[#This Row],[EF_Vedligehold_Aggregeret]])</f>
        <v>-156.6345188650335</v>
      </c>
      <c r="AB26"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26" s="142" t="str">
        <f>IFERROR(IF(Tidstabel[[#This Row],[År]]&gt;Input_Tidshorisont,BlankTegn,
Tidstabel[[#This Row],[KF_Anskaffelse_Aggregeret]]+Tidstabel[[#This Row],[KF_Engangsudgifter_Aggregeret]]),BlankTegn)</f>
        <v>.</v>
      </c>
      <c r="AD26" s="174">
        <f ca="1">IFERROR(IF(Tidstabel[[#This Row],[År]]&gt;Input_Tidshorisont,BlankTegn,
IF(Tidstabel[[#This Row],[År]]=0,0,Tidstabel[[#This Row],[NPV_Eksisterende]]*(Tidstabel[[#This Row],[Kalkulationsrente]]/(1-(1+Tidstabel[[#This Row],[Kalkulationsrente]])^-Tidstabel[[#This Row],[År]])))),BlankTegn)</f>
        <v>-11.424972747296126</v>
      </c>
      <c r="AE26" s="264" t="str">
        <f ca="1">IFERROR(IF(Tidstabel[[#This Row],[År]]&gt;Input_Tidshorisont,BlankTegn,
IF(Tidstabel[[#This Row],[År]]=0,0,Tidstabel[[#This Row],[NPV_Klimafacade]]*(Tidstabel[[#This Row],[Kalkulationsrente]]/(1-(1+Tidstabel[[#This Row],[Kalkulationsrente]])^-Tidstabel[[#This Row],[År]])))),BlankTegn)</f>
        <v>.</v>
      </c>
      <c r="AF26" s="270">
        <f ca="1">IF(Tidstabel[[#This Row],[År]]&gt;Input_Tidshorisont,BlankTegn,
IF(EF_Vedligehold_i=1,IF(Tidstabel[[#This Row],[EF_Uds?]]=0,1,0),IF(MAX(AF25:OFFSET(AG25,2-EF_Vedligehold_i,0),Tidstabel[[#This Row],[EF_Uds?]])=0,1,0)))</f>
        <v>1</v>
      </c>
      <c r="AG26" s="181">
        <f>IF(Tidstabel[[#This Row],[År]]&gt;Input_Tidshorisont,BlankTegn,0)</f>
        <v>0</v>
      </c>
      <c r="AH26" s="263">
        <f ca="1">IF(Tidstabel[[#This Row],[År]]&gt;Input_Tidshorisont,BlankTegn,
Tidstabel[[#This Row],[EF_Ved?]]*EF_Vedligehold_p*-EF_Enhedspris*((1+Tidstabel[[#This Row],[Kalkulationsrente]])^-Tidstabel[[#This Row],[År]])*((1+PrisudviklingGenerelt)^Tidstabel[[#This Row],[År]]))</f>
        <v>-5.5387652484588195</v>
      </c>
      <c r="AI26" s="262">
        <f ca="1">IF(Tidstabel[[#This Row],[År]]&gt;Input_Tidshorisont,BlankTegn,
IF(Tidstabel[[#This Row],[År]]=0,Tidstabel[[#This Row],[EF_Vedligehold]],AI25+Tidstabel[[#This Row],[EF_Vedligehold]]))</f>
        <v>-156.6345188650335</v>
      </c>
      <c r="AJ26" s="245">
        <f>IFERROR(IF(Tidstabel[[#This Row],[År]]&gt;Input_Tidshorisont,BlankTegn,
Tidstabel[[#This Row],[FB_Anskaffelse]]+Tidstabel[[#This Row],[VS_Anskaffelse]]+Tidstabel[[#This Row],[EI_Anskaffelse]]+Tidstabel[[#This Row],[AP_Anskaffelse]]+Tidstabel[[#This Row],[SK_Anskaffelse]]),BlankTegn)</f>
        <v>0</v>
      </c>
      <c r="AK26" s="245" t="str">
        <f>IFERROR(IF(Tidstabel[[#This Row],[År]]&gt;Input_Tidshorisont,BlankTegn,
IF(Tidstabel[[#This Row],[År]]=0,Tidstabel[[#This Row],[KF_Anskaffelse]],AK25+Tidstabel[[#This Row],[KF_Anskaffelse]])),BlankTegn)</f>
        <v>.</v>
      </c>
      <c r="AL26" s="246" t="str">
        <f ca="1">IFERROR(IF(Tidstabel[[#This Row],[År]]&gt;Input_Tidshorisont,BlankTegn,
Tidstabel[[#This Row],[FB_Vedligehold]]+Tidstabel[[#This Row],[VS_Vedligehold]]+Tidstabel[[#This Row],[EI_Vedligehold]]+Tidstabel[[#This Row],[AP_Vedligehold]]+Tidstabel[[#This Row],[SK_Vedligehold]]),BlankTegn)</f>
        <v>.</v>
      </c>
      <c r="AM26" s="245" t="str">
        <f ca="1">IFERROR(IF(Tidstabel[[#This Row],[År]]&gt;Input_Tidshorisont,BlankTegn,
IF(Tidstabel[[#This Row],[År]]=0,Tidstabel[[#This Row],[KF_Vedligehold]],AM25+Tidstabel[[#This Row],[KF_Vedligehold]])),BlankTegn)</f>
        <v>.</v>
      </c>
      <c r="AN26"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26"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26" s="245" t="str">
        <f>IFERROR(IF(Tidstabel[[#This Row],[År]]&gt;Input_Tidshorisont,BlankTegn,
IF(Tidstabel[[#This Row],[År]]=0,Tidstabel[[#This Row],[KF_Udskiftning_Komponent]],AP25+Tidstabel[[#This Row],[KF_Udskiftning_Komponent]])),BlankTegn)</f>
        <v>.</v>
      </c>
      <c r="AQ26" s="245">
        <f>IF(Tidstabel[[#This Row],[År]]&gt;Input_Tidshorisont,BlankTegn,
IF(Tidstabel[[#This Row],[År]]=0,-SUM(Engangsudgifter[Udgift]),0))</f>
        <v>0</v>
      </c>
      <c r="AR26" s="245">
        <f>IFERROR(IF(Tidstabel[[#This Row],[År]]&gt;Input_Tidshorisont,BlankTegn,
IF(Tidstabel[[#This Row],[År]]=0,Tidstabel[[#This Row],[KF_Engangsudgifter]],AR25+Tidstabel[[#This Row],[KF_Engangsudgifter]])),BlankTegn)</f>
        <v>0</v>
      </c>
      <c r="AS26" s="315" t="str">
        <f>IFERROR(IF(Tidstabel[[#This Row],[År]]&gt;Input_Tidshorisont,BlankTegn,
-Energibesparelse_Årlig),BlankTegn)</f>
        <v>.</v>
      </c>
      <c r="AT26" s="245" t="str">
        <f>IFERROR(IF(Tidstabel[[#This Row],[År]]&gt;Input_Tidshorisont,BlankTegn,
IF(Tidstabel[[#This Row],[År]]=0,0,-Tidstabel[[#This Row],[KF_Energiforbrug]]*Input_Fjernvarmepris*((1+Tidstabel[[#This Row],[Kalkulationsrente]])^-Tidstabel[[#This Row],[År]])*((1+PrisudviklingFjernvarme)^Tidstabel[[#This Row],[År]]))),BlankTegn)</f>
        <v>.</v>
      </c>
      <c r="AU26" s="262" t="str">
        <f>IFERROR(IF(Tidstabel[[#This Row],[År]]&gt;Input_Tidshorisont,BlankTegn,
IF(Tidstabel[[#This Row],[År]]=0,Tidstabel[[#This Row],[KF_Forsyning]],AU25+Tidstabel[[#This Row],[KF_Forsyning]])),BlankTegn)</f>
        <v>.</v>
      </c>
      <c r="AV26" s="245">
        <f>IFERROR(IF(Tidstabel[[#This Row],[År]]&gt;Input_Tidshorisont,BlankTegn,
IF(Tidstabel[[#This Row],[År]]=0,-FB_Enhedspris,0)),BlankTegn)</f>
        <v>0</v>
      </c>
      <c r="AW26" s="245" t="str">
        <f>IFERROR(IF(Tidstabel[[#This Row],[År]]&gt;Input_Tidshorisont,BlankTegn,
IF(Tidstabel[[#This Row],[År]]=0,FB_Enhedspris/FB_Levetid,AW25*((1+Tidstabel[[#This Row],[Kalkulationsrente]])^-1)*((1+PrisudviklingGenerelt)^1))),BlankTegn)</f>
        <v>.</v>
      </c>
      <c r="AX26" s="178" t="str">
        <f ca="1">IFERROR(IF(Tidstabel[[#This Row],[År]]&gt;Input_Tidshorisont,BlankTegn,
IF(FB_Vedligehold_i=1,IF(Tidstabel[[#This Row],[FB_Uds?]]=0,1,0),IF(MAX(AX25:OFFSET(AY25,2-FB_Vedligehold_i,0),Tidstabel[[#This Row],[FB_Uds?]])=0,1,0))),BlankTegn)</f>
        <v>.</v>
      </c>
      <c r="AY26" s="178" t="str">
        <f>IFERROR(IF(Tidstabel[[#This Row],[År]]&gt;Input_Tidshorisont,BlankTegn,
IF(Tidstabel[[#This Row],[År]]=0,1,IF(MOD(Tidstabel[[#This Row],[År]],FB_Levetid)=0,1,IF(Tidstabel[[#This Row],[År]]=Input_Tidshorisont,0,0)))),BlankTegn)</f>
        <v>.</v>
      </c>
      <c r="AZ26" s="245" t="str">
        <f ca="1">IFERROR(IF(Tidstabel[[#This Row],[År]]&gt;Input_Tidshorisont,BlankTegn,
FB_Vedligehold_p*-FB_Enhedspris*Tidstabel[[#This Row],[FB_Ved?]]*((1+Tidstabel[[#This Row],[Kalkulationsrente]])^-Tidstabel[[#This Row],[År]])*((1+PrisudviklingGenerelt)^Tidstabel[[#This Row],[År]])),BlankTegn)</f>
        <v>.</v>
      </c>
      <c r="BA26" s="245" t="str">
        <f>IFERROR(IF(Tidstabel[[#This Row],[År]]&gt;Input_Tidshorisont,BlankTegn,
IF(Tidstabel[[#This Row],[År]]=0,FB_Enhedspris,SUM(BA25:BB25)*((1+Tidstabel[[#This Row],[Kalkulationsrente]])^-1)*((1+PrisudviklingGenerelt)^1)-Tidstabel[[#This Row],[FB_Afskrivning]])),BlankTegn)</f>
        <v>.</v>
      </c>
      <c r="BB26" s="245" t="str">
        <f>IFERROR(IF(Tidstabel[[#This Row],[År]]&gt;Input_Tidshorisont,BlankTegn,
IF(Tidstabel[[#This Row],[År]]=0,0,Tidstabel[[#This Row],[FB_Uds?]]*FB_Enhedspris*((1+Tidstabel[[#This Row],[Kalkulationsrente]])^-Tidstabel[[#This Row],[År]])*((1+PrisudviklingGenerelt)^Tidstabel[[#This Row],[År]]))),BlankTegn)</f>
        <v>.</v>
      </c>
      <c r="BC26" s="262" t="str">
        <f>IFERROR(IF(Tidstabel[[#This Row],[År]]&gt;Input_Tidshorisont,BlankTegn,
IF(Tidstabel[[#This Row],[År]]=0,0,Tidstabel[[#This Row],[FB_Uds?]]*-FB_Enhedspris*FB_Genoprettelse*((1+Tidstabel[[#This Row],[Kalkulationsrente]])^-Tidstabel[[#This Row],[År]])*((1+PrisudviklingGenerelt)^Tidstabel[[#This Row],[År]]))),BlankTegn)</f>
        <v>.</v>
      </c>
      <c r="BD26" s="245">
        <f>IFERROR(IF(Tidstabel[[#This Row],[År]]&gt;Input_Tidshorisont,BlankTegn,
IF(Tidstabel[[#This Row],[År]]=0,-VS_Enhedspris,0)),BlankTegn)</f>
        <v>0</v>
      </c>
      <c r="BE26" s="245" t="str">
        <f>IFERROR(IF(Tidstabel[[#This Row],[År]]&gt;Input_Tidshorisont,BlankTegn,
IF(Tidstabel[[#This Row],[År]]=0,VS_Enhedspris/VS_Levetid,BE25*((1+Tidstabel[[#This Row],[Kalkulationsrente]])^-1)*((1+PrisudviklingGenerelt)^1))),BlankTegn)</f>
        <v>.</v>
      </c>
      <c r="BF26" s="178" t="str">
        <f ca="1">IFERROR(IF(Tidstabel[[#This Row],[År]]&gt;Input_Tidshorisont,BlankTegn,
IF(VS_Vedligehold_i=1,IF(Tidstabel[[#This Row],[VS_Uds?]]=0,1,0),IF(MAX(BF25:OFFSET(BG25,2-VS_Vedligehold_i,0),Tidstabel[[#This Row],[VS_Uds?]])=0,1,0))),BlankTegn)</f>
        <v>.</v>
      </c>
      <c r="BG26" s="178" t="str">
        <f>IFERROR(IF(Tidstabel[[#This Row],[År]]&gt;Input_Tidshorisont,BlankTegn,
IF(Tidstabel[[#This Row],[År]]=0,1,IF(MOD(Tidstabel[[#This Row],[År]],VS_Levetid)=0,1,IF(Tidstabel[[#This Row],[År]]=Input_Tidshorisont,0,0)))),BlankTegn)</f>
        <v>.</v>
      </c>
      <c r="BH26" s="245" t="str">
        <f ca="1">IFERROR(IF(Tidstabel[[#This Row],[År]]&gt;Input_Tidshorisont,BlankTegn,
VS_Vedligehold_p*-VS_Enhedspris*Tidstabel[[#This Row],[VS_Ved?]]*((1+Tidstabel[[#This Row],[Kalkulationsrente]])^-Tidstabel[[#This Row],[År]])*((1+PrisudviklingGenerelt)^Tidstabel[[#This Row],[År]])),BlankTegn)</f>
        <v>.</v>
      </c>
      <c r="BI26" s="245" t="str">
        <f>IFERROR(IF(Tidstabel[[#This Row],[År]]&gt;Input_Tidshorisont,BlankTegn,
IF(Tidstabel[[#This Row],[År]]=0,VS_Enhedspris,SUM(BI25:BJ25)*((1+Tidstabel[[#This Row],[Kalkulationsrente]])^-1)*((1+PrisudviklingGenerelt)^1)-Tidstabel[[#This Row],[VS_Afskrivning]])),BlankTegn)</f>
        <v>.</v>
      </c>
      <c r="BJ26" s="245" t="str">
        <f>IFERROR(IF(Tidstabel[[#This Row],[År]]&gt;Input_Tidshorisont,BlankTegn,
IF(Tidstabel[[#This Row],[År]]=0,0,Tidstabel[[#This Row],[VS_Uds?]]*VS_Enhedspris*((1+Tidstabel[[#This Row],[Kalkulationsrente]])^-Tidstabel[[#This Row],[År]])*((1+PrisudviklingGenerelt)^Tidstabel[[#This Row],[År]]))),BlankTegn)</f>
        <v>.</v>
      </c>
      <c r="BK26" s="262" t="str">
        <f>IFERROR(IF(Tidstabel[[#This Row],[År]]&gt;Input_Tidshorisont,BlankTegn,
IF(Tidstabel[[#This Row],[År]]=0,0,Tidstabel[[#This Row],[VS_Uds?]]*-VS_Enhedspris*VS_Genoprettelse*((1+Tidstabel[[#This Row],[Kalkulationsrente]])^-Tidstabel[[#This Row],[År]])*((1+PrisudviklingGenerelt)^Tidstabel[[#This Row],[År]]))),BlankTegn)</f>
        <v>.</v>
      </c>
      <c r="BL26" s="245">
        <f>IFERROR(IF(Tidstabel[[#This Row],[År]]&gt;Input_Tidshorisont,BlankTegn,
IF(Tidstabel[[#This Row],[År]]=0,-EI_Enhedspris,0)),BlankTegn)</f>
        <v>0</v>
      </c>
      <c r="BM26" s="245" t="str">
        <f>IFERROR(IF(Tidstabel[[#This Row],[År]]&gt;Input_Tidshorisont,BlankTegn,
IF(Tidstabel[[#This Row],[År]]=0,EI_Enhedspris/EI_Levetid,BM25*((1+Tidstabel[[#This Row],[Kalkulationsrente]])^-1)*((1+PrisudviklingGenerelt)^1))),BlankTegn)</f>
        <v>.</v>
      </c>
      <c r="BN26" s="178" t="str">
        <f ca="1">IFERROR(IF(Tidstabel[[#This Row],[År]]&gt;Input_Tidshorisont,BlankTegn,
IF(EI_Vedligehold_i=1,IF(Tidstabel[[#This Row],[EI_Uds?]]=0,1,0),IF(MAX(BN25:OFFSET(BO25,2-EI_Vedligehold_i,0),Tidstabel[[#This Row],[EI_Uds?]])=0,1,0))),BlankTegn)</f>
        <v>.</v>
      </c>
      <c r="BO26" s="178" t="str">
        <f>IFERROR(IF(Tidstabel[[#This Row],[År]]&gt;Input_Tidshorisont,BlankTegn,
IF(Tidstabel[[#This Row],[År]]=0,1,IF(MOD(Tidstabel[[#This Row],[År]],EI_Levetid)=0,1,IF(Tidstabel[[#This Row],[År]]=Input_Tidshorisont,0,0)))),BlankTegn)</f>
        <v>.</v>
      </c>
      <c r="BP26" s="245" t="str">
        <f ca="1">IFERROR(IF(Tidstabel[[#This Row],[År]]&gt;Input_Tidshorisont,BlankTegn,
EI_Vedligehold_p*-EI_Enhedspris*Tidstabel[[#This Row],[EI_Ved?]]*((1+Tidstabel[[#This Row],[Kalkulationsrente]])^-Tidstabel[[#This Row],[År]])*((1+PrisudviklingGenerelt)^Tidstabel[[#This Row],[År]])),BlankTegn)</f>
        <v>.</v>
      </c>
      <c r="BQ26" s="245" t="str">
        <f>IFERROR(IF(Tidstabel[[#This Row],[År]]&gt;Input_Tidshorisont,BlankTegn,
IF(Tidstabel[[#This Row],[År]]=0,EI_Enhedspris,SUM(BQ25:BR25)*((1+Tidstabel[[#This Row],[Kalkulationsrente]])^-1)*((1+PrisudviklingGenerelt)^1)-Tidstabel[[#This Row],[EI_Afskrivning]])),BlankTegn)</f>
        <v>.</v>
      </c>
      <c r="BR26" s="245" t="str">
        <f>IFERROR(IF(Tidstabel[[#This Row],[År]]&gt;Input_Tidshorisont,BlankTegn,
IF(Tidstabel[[#This Row],[År]]=0,0,Tidstabel[[#This Row],[EI_Uds?]]*EI_Enhedspris*((1+Tidstabel[[#This Row],[Kalkulationsrente]])^-Tidstabel[[#This Row],[År]])*((1+PrisudviklingGenerelt)^Tidstabel[[#This Row],[År]]))),BlankTegn)</f>
        <v>.</v>
      </c>
      <c r="BS26" s="262" t="str">
        <f>IFERROR(IF(Tidstabel[[#This Row],[År]]&gt;Input_Tidshorisont,BlankTegn,
IF(Tidstabel[[#This Row],[År]]=0,0,Tidstabel[[#This Row],[EI_Uds?]]*-EI_Enhedspris*EI_Genoprettelse*((1+Tidstabel[[#This Row],[Kalkulationsrente]])^-Tidstabel[[#This Row],[År]])*((1+PrisudviklingGenerelt)^Tidstabel[[#This Row],[År]]))),BlankTegn)</f>
        <v>.</v>
      </c>
      <c r="BT26" s="245">
        <f>IFERROR(IF(Tidstabel[[#This Row],[År]]&gt;Input_Tidshorisont,BlankTegn,
IF(Tidstabel[[#This Row],[År]]=0,-AP_Enhedspris,0)),BlankTegn)</f>
        <v>0</v>
      </c>
      <c r="BU26" s="245" t="str">
        <f>IFERROR(IF(Tidstabel[[#This Row],[År]]&gt;Input_Tidshorisont,BlankTegn,
IF(Tidstabel[[#This Row],[År]]=0,AP_Enhedspris/AP_Levetid,BU25*((1+Tidstabel[[#This Row],[Kalkulationsrente]])^-1)*((1+PrisudviklingGenerelt)^1))),BlankTegn)</f>
        <v>.</v>
      </c>
      <c r="BV26" s="178" t="str">
        <f ca="1">IFERROR(IF(Tidstabel[[#This Row],[År]]&gt;Input_Tidshorisont,BlankTegn,
IF(AP_Vedligehold_i=1,IF(Tidstabel[[#This Row],[AP_Uds?]]=0,1,0),IF(MAX(BV25:OFFSET(BW25,2-AP_Vedligehold_i,0),Tidstabel[[#This Row],[AP_Uds?]])=0,1,0))),BlankTegn)</f>
        <v>.</v>
      </c>
      <c r="BW26" s="178" t="str">
        <f>IFERROR(IF(Tidstabel[[#This Row],[År]]&gt;Input_Tidshorisont,BlankTegn,
IF(Tidstabel[[#This Row],[År]]=0,1,IF(MOD(Tidstabel[[#This Row],[År]],AP_Levetid)=0,1,IF(Tidstabel[[#This Row],[År]]=Input_Tidshorisont,0,0)))),BlankTegn)</f>
        <v>.</v>
      </c>
      <c r="BX26" s="245" t="str">
        <f ca="1">IFERROR(IF(Tidstabel[[#This Row],[År]]&gt;Input_Tidshorisont,BlankTegn,
AP_Vedligehold_p*-AP_Enhedspris*Tidstabel[[#This Row],[AP_Ved?]]*((1+Tidstabel[[#This Row],[Kalkulationsrente]])^-Tidstabel[[#This Row],[År]])*((1+PrisudviklingGenerelt)^Tidstabel[[#This Row],[År]])),BlankTegn)</f>
        <v>.</v>
      </c>
      <c r="BY26" s="245" t="str">
        <f>IFERROR(IF(Tidstabel[[#This Row],[År]]&gt;Input_Tidshorisont,BlankTegn,
IF(Tidstabel[[#This Row],[År]]=0,AP_Enhedspris,SUM(BY25:BZ25)*((1+Tidstabel[[#This Row],[Kalkulationsrente]])^-1)*((1+PrisudviklingGenerelt)^1)-Tidstabel[[#This Row],[AP_Afskrivning]])),BlankTegn)</f>
        <v>.</v>
      </c>
      <c r="BZ26" s="245" t="str">
        <f>IFERROR(IF(Tidstabel[[#This Row],[År]]&gt;Input_Tidshorisont,BlankTegn,
IF(Tidstabel[[#This Row],[År]]=0,0,Tidstabel[[#This Row],[AP_Uds?]]*AP_Enhedspris*((1+Tidstabel[[#This Row],[Kalkulationsrente]])^-Tidstabel[[#This Row],[År]])*((1+PrisudviklingGenerelt)^Tidstabel[[#This Row],[År]]))),BlankTegn)</f>
        <v>.</v>
      </c>
      <c r="CA26" s="262" t="str">
        <f>IFERROR(IF(Tidstabel[[#This Row],[År]]&gt;Input_Tidshorisont,BlankTegn,
IF(Tidstabel[[#This Row],[År]]=0,0,Tidstabel[[#This Row],[AP_Uds?]]*-AP_Enhedspris*AP_Genoprettelse*((1+Tidstabel[[#This Row],[Kalkulationsrente]])^-Tidstabel[[#This Row],[År]])*((1+PrisudviklingGenerelt)^Tidstabel[[#This Row],[År]]))),BlankTegn)</f>
        <v>.</v>
      </c>
      <c r="CB26" s="245">
        <f>IFERROR(IF(Tidstabel[[#This Row],[År]]&gt;Input_Tidshorisont,BlankTegn,
IF(Tidstabel[[#This Row],[År]]=0,-SK_Enhedspris,0)),BlankTegn)</f>
        <v>0</v>
      </c>
      <c r="CC26" s="245" t="str">
        <f>IFERROR(IF(Tidstabel[[#This Row],[År]]&gt;Input_Tidshorisont,BlankTegn,
IF(Tidstabel[[#This Row],[År]]=0,SK_Enhedspris/SK_Levetid,CC25*((1+Tidstabel[[#This Row],[Kalkulationsrente]])^-1)*((1+PrisudviklingGenerelt)^1))),BlankTegn)</f>
        <v>.</v>
      </c>
      <c r="CD26" s="178" t="str">
        <f ca="1">IFERROR(IF(Tidstabel[[#This Row],[År]]&gt;Input_Tidshorisont,BlankTegn,
IF(SK_Vedligehold_i=1,IF(Tidstabel[[#This Row],[SK_Uds?]]=0,1,0),IF(MAX(CD25:OFFSET(CE25,2-SK_Vedligehold_i,0),Tidstabel[[#This Row],[SK_Uds?]])=0,1,0))),BlankTegn)</f>
        <v>.</v>
      </c>
      <c r="CE26" s="178" t="str">
        <f>IFERROR(IF(Tidstabel[[#This Row],[År]]&gt;Input_Tidshorisont,BlankTegn,
IF(Tidstabel[[#This Row],[År]]=0,1,IF(MOD(Tidstabel[[#This Row],[År]],SK_Levetid)=0,1,IF(Tidstabel[[#This Row],[År]]=Input_Tidshorisont,0,0)))),BlankTegn)</f>
        <v>.</v>
      </c>
      <c r="CF26" s="245" t="str">
        <f ca="1">IFERROR(IF(Tidstabel[[#This Row],[År]]&gt;Input_Tidshorisont,BlankTegn,
SK_Vedligehold_p*-SK_Enhedspris*Tidstabel[[#This Row],[SK_Ved?]]*((1+Tidstabel[[#This Row],[Kalkulationsrente]])^-Tidstabel[[#This Row],[År]])*((1+PrisudviklingGenerelt)^Tidstabel[[#This Row],[År]])),BlankTegn)</f>
        <v>.</v>
      </c>
      <c r="CG26" s="245" t="str">
        <f>IFERROR(IF(Tidstabel[[#This Row],[År]]&gt;Input_Tidshorisont,BlankTegn,
IF(Tidstabel[[#This Row],[År]]=0,SK_Enhedspris,SUM(CG25:CH25)*((1+Tidstabel[[#This Row],[Kalkulationsrente]])^-1)*((1+PrisudviklingGenerelt)^1)-Tidstabel[[#This Row],[SK_Afskrivning]])),BlankTegn)</f>
        <v>.</v>
      </c>
      <c r="CH26" s="245" t="str">
        <f>IFERROR(IF(Tidstabel[[#This Row],[År]]&gt;Input_Tidshorisont,BlankTegn,
IF(Tidstabel[[#This Row],[År]]=0,0,Tidstabel[[#This Row],[SK_Uds?]]*SK_Enhedspris*((1+Tidstabel[[#This Row],[Kalkulationsrente]])^-Tidstabel[[#This Row],[År]])*((1+PrisudviklingGenerelt)^Tidstabel[[#This Row],[År]]))),BlankTegn)</f>
        <v>.</v>
      </c>
      <c r="CI26" s="262" t="str">
        <f>IFERROR(IF(Tidstabel[[#This Row],[År]]&gt;Input_Tidshorisont,BlankTegn,
IF(Tidstabel[[#This Row],[År]]=0,0,Tidstabel[[#This Row],[SK_Uds?]]*-SK_Enhedspris*SK_Genoprettelse*((1+Tidstabel[[#This Row],[Kalkulationsrente]])^-Tidstabel[[#This Row],[År]])*((1+PrisudviklingGenerelt)^Tidstabel[[#This Row],[År]]))),BlankTegn)</f>
        <v>.</v>
      </c>
      <c r="CJ26" s="19"/>
    </row>
    <row r="27" spans="1:88">
      <c r="A27" s="250">
        <v>20</v>
      </c>
      <c r="B27" s="250">
        <f>Input_Etableringsår+Tidstabel[[#This Row],[År]]</f>
        <v>2044</v>
      </c>
      <c r="C27" s="274" cm="1">
        <f t="array" ref="C27">_xlfn.IFS(Tidstabel[[#This Row],[År]]&gt;KR_Trin3_Tærskel,KR_Trin3_Rente,Tidstabel[[#This Row],[År]]&gt;KR_Trin2_Tærskel,KR_Trin2_Rente,Tidstabel[[#This Row],[År]]&gt;KR_Trin1_Tærskel,KR_Trin1_Rente,Tidstabel[[#This Row],[År]]&gt;KR_Trin0_Tærskel,KR_Trin0_Rente)</f>
        <v>3.5000000000000003E-2</v>
      </c>
      <c r="D27" s="142" t="str" cm="1">
        <f t="array" ref="D27">IFERROR(
INDEX(Range_Materiale_ÅrligeEmissioner,MATCH(1,(Materialedata[Komponent]=FB_Titel)*(Materialedata[Materiale]=FB_Materiale),0),MATCH(Tidstabel[[#This Row],[År]],Range_Materiale_År,0)),BlankTegn)</f>
        <v>.</v>
      </c>
      <c r="E27" s="142" t="str" cm="1">
        <f t="array" ref="E27">IFERROR(
INDEX(Range_Materiale_ÅrligeEmissioner,MATCH(1,(Materialedata[Komponent]=SK_Titel)*(Materialedata[Materiale]=SK_Materiale),0),MATCH(Tidstabel[[#This Row],[År]],Range_Materiale_År,0)),BlankTegn)</f>
        <v>.</v>
      </c>
      <c r="F27" s="142" t="str" cm="1">
        <f t="array" ref="F27">IFERROR(
INDEX(Range_Materiale_ÅrligeEmissioner,MATCH(1,(Materialedata[Komponent]=EI_Titel)*(Materialedata[Materiale]=EI_Materiale),0),MATCH(Tidstabel[[#This Row],[År]],Range_Materiale_År,0)),BlankTegn)</f>
        <v>.</v>
      </c>
      <c r="G27" s="142" t="str" cm="1">
        <f t="array" ref="G27">IFERROR(
INDEX(Range_Materiale_ÅrligeEmissioner,MATCH(1,(Materialedata[Komponent]=AP_Titel)*(Materialedata[Materiale]=AP_Materiale),0),MATCH(Tidstabel[[#This Row],[År]],Range_Materiale_År,0)),BlankTegn)</f>
        <v>.</v>
      </c>
      <c r="H27" s="142" t="str" cm="1">
        <f t="array" ref="H27">IFERROR(
INDEX(Range_Materiale_ÅrligeEmissioner,MATCH(1,(Materialedata[Komponent]=VS_Titel)*(Materialedata[Materiale]=VS_Materiale),0),MATCH(Tidstabel[[#This Row],[År]],Range_Materiale_År,0)),BlankTegn)</f>
        <v>.</v>
      </c>
      <c r="I27" s="142" t="str">
        <f>IFERROR(
IF(SUM(Tidstabel[[#This Row],[Facadebeklædning]:[Vindspærre]])=0,BlankTegn,
SUM(Tidstabel[[#This Row],[Facadebeklædning]:[Vindspærre]])),BlankTegn)</f>
        <v>.</v>
      </c>
      <c r="J27" s="139">
        <f>IF(Tidstabel[[#This Row],[År]]&gt;Input_Tidshorisont,BlankTegn,
A5_ElVarmeBrændstofByggeplads)</f>
        <v>0.25</v>
      </c>
      <c r="K27" s="142" t="str">
        <f>IFERROR(IF(Tidstabel[[#This Row],[År]]&gt;Input_Tidshorisont,BlankTegn,
-1*INDEX(Range_Energi_ÅrligBesparelse,MATCH(Input_EksisterendeFacade,Energiberegning[Ydervæg],0),MATCH(Tidstabel[[#This Row],[Årstal]],Range_Energi_Årstal,0))),BlankTegn)</f>
        <v>.</v>
      </c>
      <c r="L27" s="142">
        <f>IF(Tidstabel[[#This Row],[År]]&gt;Input_Tidshorisont,BlankTegn,
(Tidstabel[[#This Row],[År]]+1)*(SUM(Vedligeholdelsesmaterialer[Facadefarve],Vedligeholdelsesmaterialer[Grunder og mellemmaling])/12+SUM(Vedligeholdelsesmaterialer[Puds])/30))</f>
        <v>6.8219400024999999</v>
      </c>
      <c r="M27" s="142" t="str">
        <f>IFERROR(IF(Tidstabel[[#This Row],[År]]&gt;Input_Tidshorisont,BlankTegn,
Tidstabel[[#This Row],[Materialer_Total]]+Tidstabel[[#This Row],[Byggeprocess]]),BlankTegn)</f>
        <v>.</v>
      </c>
      <c r="N27" s="142" t="str">
        <f>IFERROR(IF(Tidstabel[[#This Row],[År]]&gt;Input_Tidshorisont,BlankTegn,
Tidstabel[[#This Row],[Energibesparelse]]+Tidstabel[[#This Row],[Emission_Brutto]]),BlankTegn)</f>
        <v>.</v>
      </c>
      <c r="O27" s="142" t="str">
        <f>IFERROR(IF(Tidstabel[[#This Row],[År]]&gt;Input_Tidshorisont,BlankTegn,
Tidstabel[[#This Row],[Emission_Netto]]-Tidstabel[[#This Row],[Vedligehold_EksisterendeFacade]]),BlankTegn)</f>
        <v>.</v>
      </c>
      <c r="P27" s="271" t="str">
        <f>IFERROR(IF(Tidstabel[[#This Row],[År]]&gt;Input_Tidshorisont,BlankTegn,
IF(AND(Tidstabel[[#This Row],[Emission_Netto]]-Tidstabel[[#This Row],[Vedligehold_EksisterendeFacade]]&gt;0,N28-L28&lt;0),-1,IF(AND(Tidstabel[[#This Row],[Emission_Netto]]-Tidstabel[[#This Row],[Vedligehold_EksisterendeFacade]]&lt;0,N28-L28&gt;0),1,0))),BlankTegn)</f>
        <v>.</v>
      </c>
      <c r="Q27" s="174" t="str">
        <f>IF(Tidstabel[[#This Row],[År]]&gt;Input_Tidshorisont,BlankTegn,
IF(Tidstabel[[#This Row],[LCA-Skæring]]=-1,SUM(Tidstabel[[#This Row],[År]]*(1-ABS(Tidstabel[[#This Row],[LCA-Difference]])/(ABS(Tidstabel[[#This Row],[LCA-Difference]])+ABS(O28))),A28*(1-ABS(O28)/(ABS(Tidstabel[[#This Row],[LCA-Difference]])+ABS(O28)))),"-"))</f>
        <v>-</v>
      </c>
      <c r="R27" s="174" t="str">
        <f>IF(Tidstabel[[#This Row],[År]]&gt;Input_Tidshorisont,BlankTegn,
IF(Tidstabel[[#This Row],[LCA-Skæring]]=-1,SUM(Tidstabel[[#This Row],[Emission_Netto]]*(1-ABS(Tidstabel[[#This Row],[LCA-Difference]])/(ABS(Tidstabel[[#This Row],[LCA-Difference]])+ABS(O28))),N28*(1-ABS(O28)/(ABS(Tidstabel[[#This Row],[LCA-Difference]])+ABS(O28)))),"-"))</f>
        <v>-</v>
      </c>
      <c r="S27" s="174" t="str">
        <f>IF(Tidstabel[[#This Row],[År]]&gt;Input_Tidshorisont,BlankTegn,
IF(Tidstabel[[#This Row],[LCA-Skæring]]=1,SUM(Tidstabel[[#This Row],[År]]*(1-ABS(Tidstabel[[#This Row],[LCA-Difference]])/(ABS(Tidstabel[[#This Row],[LCA-Difference]])+ABS(O28))),A28*(1-ABS(O28)/(ABS(Tidstabel[[#This Row],[LCA-Difference]])+ABS(O28)))),"-"))</f>
        <v>-</v>
      </c>
      <c r="T27" s="264" t="str">
        <f>IF(Tidstabel[[#This Row],[År]]&gt;Input_Tidshorisont,BlankTegn,
IF(Tidstabel[[#This Row],[LCA-Skæring]]=1,SUM(Tidstabel[[#This Row],[Emission_Netto]]*(1-ABS(Tidstabel[[#This Row],[LCA-Difference]])/(ABS(Tidstabel[[#This Row],[LCA-Difference]])+ABS(O28))),N28*(1-ABS(O28)/(ABS(Tidstabel[[#This Row],[LCA-Difference]])+ABS(O28)))),"-"))</f>
        <v>-</v>
      </c>
      <c r="U27" s="142" t="str">
        <f ca="1">IFERROR(IF(Tidstabel[[#This Row],[År]]&gt;Input_Tidshorisont,BlankTegn,
Tidstabel[[#This Row],[NPV_Klimafacade]]-Tidstabel[[#This Row],[NPV_Eksisterende]]),BlankTegn)</f>
        <v>.</v>
      </c>
      <c r="V27" s="271" t="str">
        <f ca="1">IFERROR(IF(Tidstabel[[#This Row],[År]]&gt;Input_Tidshorisont,BlankTegn,
IF(AND(Tidstabel[[#This Row],[NPV_Klimafacade]]-Tidstabel[[#This Row],[NPV_Eksisterende]]&gt;0,AB28-AA28&lt;0),1,IF(AND(Tidstabel[[#This Row],[NPV_Klimafacade]]-Tidstabel[[#This Row],[NPV_Eksisterende]]&lt;0,AB28-AA28&gt;0),-1,0))),BlankTegn)</f>
        <v>.</v>
      </c>
      <c r="W27" s="174" t="str">
        <f ca="1">IF(Tidstabel[[#This Row],[År]]&gt;Input_Tidshorisont,BlankTegn,
IF(Tidstabel[[#This Row],[LCC-Skæring]]=-1,SUM(Tidstabel[[#This Row],[År]]*(1-ABS(Tidstabel[[#This Row],[LCC-Difference]])/(ABS(Tidstabel[[#This Row],[LCC-Difference]])+ABS(U28))),A28*(1-ABS(U28)/(ABS(Tidstabel[[#This Row],[LCC-Difference]])+ABS(U28)))),"-"))</f>
        <v>-</v>
      </c>
      <c r="X27" s="174" t="str">
        <f ca="1">IF(Tidstabel[[#This Row],[År]]&gt;Input_Tidshorisont,BlankTegn,
IF(Tidstabel[[#This Row],[LCC-Skæring]]=-1,SUM(Tidstabel[[#This Row],[NPV_Klimafacade]]*(1-ABS(Tidstabel[[#This Row],[LCC-Difference]])/(ABS(Tidstabel[[#This Row],[LCC-Difference]])+ABS(U28))),AB28*(1-ABS(U28)/(ABS(Tidstabel[[#This Row],[LCC-Difference]])+ABS(U28)))),"-"))</f>
        <v>-</v>
      </c>
      <c r="Y27" s="174" t="str">
        <f ca="1">IF(Tidstabel[[#This Row],[År]]&gt;Input_Tidshorisont,BlankTegn,
IF(Tidstabel[[#This Row],[LCC-Skæring]]=1,SUM(Tidstabel[[#This Row],[År]]*(1-ABS(Tidstabel[[#This Row],[LCC-Difference]])/(ABS(Tidstabel[[#This Row],[LCC-Difference]])+ABS(U28))),A28*(1-ABS(U28)/(ABS(Tidstabel[[#This Row],[LCC-Difference]])+ABS(U28)))),"-"))</f>
        <v>-</v>
      </c>
      <c r="Z27" s="264" t="str">
        <f ca="1">IF(Tidstabel[[#This Row],[År]]&gt;Input_Tidshorisont,BlankTegn,
IF(Tidstabel[[#This Row],[LCC-Skæring]]=1,SUM(Tidstabel[[#This Row],[NPV_Klimafacade]]*(1-ABS(Tidstabel[[#This Row],[LCC-Difference]])/(ABS(Tidstabel[[#This Row],[LCC-Difference]])+ABS(U28))),AB28*(1-ABS(U28)/(ABS(Tidstabel[[#This Row],[LCC-Difference]])+ABS(U28)))),"-"))</f>
        <v>-</v>
      </c>
      <c r="AA27" s="142">
        <f ca="1">IF(Tidstabel[[#This Row],[År]]&gt;Input_Tidshorisont,BlankTegn,
Tidstabel[[#This Row],[EF_Vedligehold_Aggregeret]])</f>
        <v>-161.98598287320627</v>
      </c>
      <c r="AB27"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27" s="142" t="str">
        <f>IFERROR(IF(Tidstabel[[#This Row],[År]]&gt;Input_Tidshorisont,BlankTegn,
Tidstabel[[#This Row],[KF_Anskaffelse_Aggregeret]]+Tidstabel[[#This Row],[KF_Engangsudgifter_Aggregeret]]),BlankTegn)</f>
        <v>.</v>
      </c>
      <c r="AD27" s="174">
        <f ca="1">IFERROR(IF(Tidstabel[[#This Row],[År]]&gt;Input_Tidshorisont,BlankTegn,
IF(Tidstabel[[#This Row],[År]]=0,0,Tidstabel[[#This Row],[NPV_Eksisterende]]*(Tidstabel[[#This Row],[Kalkulationsrente]]/(1-(1+Tidstabel[[#This Row],[Kalkulationsrente]])^-Tidstabel[[#This Row],[År]])))),BlankTegn)</f>
        <v>-11.39750817871565</v>
      </c>
      <c r="AE27" s="264" t="str">
        <f ca="1">IFERROR(IF(Tidstabel[[#This Row],[År]]&gt;Input_Tidshorisont,BlankTegn,
IF(Tidstabel[[#This Row],[År]]=0,0,Tidstabel[[#This Row],[NPV_Klimafacade]]*(Tidstabel[[#This Row],[Kalkulationsrente]]/(1-(1+Tidstabel[[#This Row],[Kalkulationsrente]])^-Tidstabel[[#This Row],[År]])))),BlankTegn)</f>
        <v>.</v>
      </c>
      <c r="AF27" s="270">
        <f ca="1">IF(Tidstabel[[#This Row],[År]]&gt;Input_Tidshorisont,BlankTegn,
IF(EF_Vedligehold_i=1,IF(Tidstabel[[#This Row],[EF_Uds?]]=0,1,0),IF(MAX(AF26:OFFSET(AG26,2-EF_Vedligehold_i,0),Tidstabel[[#This Row],[EF_Uds?]])=0,1,0)))</f>
        <v>1</v>
      </c>
      <c r="AG27" s="181">
        <f>IF(Tidstabel[[#This Row],[År]]&gt;Input_Tidshorisont,BlankTegn,0)</f>
        <v>0</v>
      </c>
      <c r="AH27" s="263">
        <f ca="1">IF(Tidstabel[[#This Row],[År]]&gt;Input_Tidshorisont,BlankTegn,
Tidstabel[[#This Row],[EF_Ved?]]*EF_Vedligehold_p*-EF_Enhedspris*((1+Tidstabel[[#This Row],[Kalkulationsrente]])^-Tidstabel[[#This Row],[År]])*((1+PrisudviklingGenerelt)^Tidstabel[[#This Row],[År]]))</f>
        <v>-5.3514640081727718</v>
      </c>
      <c r="AI27" s="262">
        <f ca="1">IF(Tidstabel[[#This Row],[År]]&gt;Input_Tidshorisont,BlankTegn,
IF(Tidstabel[[#This Row],[År]]=0,Tidstabel[[#This Row],[EF_Vedligehold]],AI26+Tidstabel[[#This Row],[EF_Vedligehold]]))</f>
        <v>-161.98598287320627</v>
      </c>
      <c r="AJ27" s="245">
        <f>IFERROR(IF(Tidstabel[[#This Row],[År]]&gt;Input_Tidshorisont,BlankTegn,
Tidstabel[[#This Row],[FB_Anskaffelse]]+Tidstabel[[#This Row],[VS_Anskaffelse]]+Tidstabel[[#This Row],[EI_Anskaffelse]]+Tidstabel[[#This Row],[AP_Anskaffelse]]+Tidstabel[[#This Row],[SK_Anskaffelse]]),BlankTegn)</f>
        <v>0</v>
      </c>
      <c r="AK27" s="245" t="str">
        <f>IFERROR(IF(Tidstabel[[#This Row],[År]]&gt;Input_Tidshorisont,BlankTegn,
IF(Tidstabel[[#This Row],[År]]=0,Tidstabel[[#This Row],[KF_Anskaffelse]],AK26+Tidstabel[[#This Row],[KF_Anskaffelse]])),BlankTegn)</f>
        <v>.</v>
      </c>
      <c r="AL27" s="246" t="str">
        <f ca="1">IFERROR(IF(Tidstabel[[#This Row],[År]]&gt;Input_Tidshorisont,BlankTegn,
Tidstabel[[#This Row],[FB_Vedligehold]]+Tidstabel[[#This Row],[VS_Vedligehold]]+Tidstabel[[#This Row],[EI_Vedligehold]]+Tidstabel[[#This Row],[AP_Vedligehold]]+Tidstabel[[#This Row],[SK_Vedligehold]]),BlankTegn)</f>
        <v>.</v>
      </c>
      <c r="AM27" s="245" t="str">
        <f ca="1">IFERROR(IF(Tidstabel[[#This Row],[År]]&gt;Input_Tidshorisont,BlankTegn,
IF(Tidstabel[[#This Row],[År]]=0,Tidstabel[[#This Row],[KF_Vedligehold]],AM26+Tidstabel[[#This Row],[KF_Vedligehold]])),BlankTegn)</f>
        <v>.</v>
      </c>
      <c r="AN27"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27"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27" s="245" t="str">
        <f>IFERROR(IF(Tidstabel[[#This Row],[År]]&gt;Input_Tidshorisont,BlankTegn,
IF(Tidstabel[[#This Row],[År]]=0,Tidstabel[[#This Row],[KF_Udskiftning_Komponent]],AP26+Tidstabel[[#This Row],[KF_Udskiftning_Komponent]])),BlankTegn)</f>
        <v>.</v>
      </c>
      <c r="AQ27" s="245">
        <f>IF(Tidstabel[[#This Row],[År]]&gt;Input_Tidshorisont,BlankTegn,
IF(Tidstabel[[#This Row],[År]]=0,-SUM(Engangsudgifter[Udgift]),0))</f>
        <v>0</v>
      </c>
      <c r="AR27" s="245">
        <f>IFERROR(IF(Tidstabel[[#This Row],[År]]&gt;Input_Tidshorisont,BlankTegn,
IF(Tidstabel[[#This Row],[År]]=0,Tidstabel[[#This Row],[KF_Engangsudgifter]],AR26+Tidstabel[[#This Row],[KF_Engangsudgifter]])),BlankTegn)</f>
        <v>0</v>
      </c>
      <c r="AS27" s="315" t="str">
        <f>IFERROR(IF(Tidstabel[[#This Row],[År]]&gt;Input_Tidshorisont,BlankTegn,
-Energibesparelse_Årlig),BlankTegn)</f>
        <v>.</v>
      </c>
      <c r="AT27" s="245" t="str">
        <f>IFERROR(IF(Tidstabel[[#This Row],[År]]&gt;Input_Tidshorisont,BlankTegn,
IF(Tidstabel[[#This Row],[År]]=0,0,-Tidstabel[[#This Row],[KF_Energiforbrug]]*Input_Fjernvarmepris*((1+Tidstabel[[#This Row],[Kalkulationsrente]])^-Tidstabel[[#This Row],[År]])*((1+PrisudviklingFjernvarme)^Tidstabel[[#This Row],[År]]))),BlankTegn)</f>
        <v>.</v>
      </c>
      <c r="AU27" s="262" t="str">
        <f>IFERROR(IF(Tidstabel[[#This Row],[År]]&gt;Input_Tidshorisont,BlankTegn,
IF(Tidstabel[[#This Row],[År]]=0,Tidstabel[[#This Row],[KF_Forsyning]],AU26+Tidstabel[[#This Row],[KF_Forsyning]])),BlankTegn)</f>
        <v>.</v>
      </c>
      <c r="AV27" s="245">
        <f>IFERROR(IF(Tidstabel[[#This Row],[År]]&gt;Input_Tidshorisont,BlankTegn,
IF(Tidstabel[[#This Row],[År]]=0,-FB_Enhedspris,0)),BlankTegn)</f>
        <v>0</v>
      </c>
      <c r="AW27" s="245" t="str">
        <f>IFERROR(IF(Tidstabel[[#This Row],[År]]&gt;Input_Tidshorisont,BlankTegn,
IF(Tidstabel[[#This Row],[År]]=0,FB_Enhedspris/FB_Levetid,AW26*((1+Tidstabel[[#This Row],[Kalkulationsrente]])^-1)*((1+PrisudviklingGenerelt)^1))),BlankTegn)</f>
        <v>.</v>
      </c>
      <c r="AX27" s="178" t="str">
        <f ca="1">IFERROR(IF(Tidstabel[[#This Row],[År]]&gt;Input_Tidshorisont,BlankTegn,
IF(FB_Vedligehold_i=1,IF(Tidstabel[[#This Row],[FB_Uds?]]=0,1,0),IF(MAX(AX26:OFFSET(AY26,2-FB_Vedligehold_i,0),Tidstabel[[#This Row],[FB_Uds?]])=0,1,0))),BlankTegn)</f>
        <v>.</v>
      </c>
      <c r="AY27" s="178" t="str">
        <f>IFERROR(IF(Tidstabel[[#This Row],[År]]&gt;Input_Tidshorisont,BlankTegn,
IF(Tidstabel[[#This Row],[År]]=0,1,IF(MOD(Tidstabel[[#This Row],[År]],FB_Levetid)=0,1,IF(Tidstabel[[#This Row],[År]]=Input_Tidshorisont,0,0)))),BlankTegn)</f>
        <v>.</v>
      </c>
      <c r="AZ27" s="245" t="str">
        <f ca="1">IFERROR(IF(Tidstabel[[#This Row],[År]]&gt;Input_Tidshorisont,BlankTegn,
FB_Vedligehold_p*-FB_Enhedspris*Tidstabel[[#This Row],[FB_Ved?]]*((1+Tidstabel[[#This Row],[Kalkulationsrente]])^-Tidstabel[[#This Row],[År]])*((1+PrisudviklingGenerelt)^Tidstabel[[#This Row],[År]])),BlankTegn)</f>
        <v>.</v>
      </c>
      <c r="BA27" s="245" t="str">
        <f>IFERROR(IF(Tidstabel[[#This Row],[År]]&gt;Input_Tidshorisont,BlankTegn,
IF(Tidstabel[[#This Row],[År]]=0,FB_Enhedspris,SUM(BA26:BB26)*((1+Tidstabel[[#This Row],[Kalkulationsrente]])^-1)*((1+PrisudviklingGenerelt)^1)-Tidstabel[[#This Row],[FB_Afskrivning]])),BlankTegn)</f>
        <v>.</v>
      </c>
      <c r="BB27" s="245" t="str">
        <f>IFERROR(IF(Tidstabel[[#This Row],[År]]&gt;Input_Tidshorisont,BlankTegn,
IF(Tidstabel[[#This Row],[År]]=0,0,Tidstabel[[#This Row],[FB_Uds?]]*FB_Enhedspris*((1+Tidstabel[[#This Row],[Kalkulationsrente]])^-Tidstabel[[#This Row],[År]])*((1+PrisudviklingGenerelt)^Tidstabel[[#This Row],[År]]))),BlankTegn)</f>
        <v>.</v>
      </c>
      <c r="BC27" s="262" t="str">
        <f>IFERROR(IF(Tidstabel[[#This Row],[År]]&gt;Input_Tidshorisont,BlankTegn,
IF(Tidstabel[[#This Row],[År]]=0,0,Tidstabel[[#This Row],[FB_Uds?]]*-FB_Enhedspris*FB_Genoprettelse*((1+Tidstabel[[#This Row],[Kalkulationsrente]])^-Tidstabel[[#This Row],[År]])*((1+PrisudviklingGenerelt)^Tidstabel[[#This Row],[År]]))),BlankTegn)</f>
        <v>.</v>
      </c>
      <c r="BD27" s="245">
        <f>IFERROR(IF(Tidstabel[[#This Row],[År]]&gt;Input_Tidshorisont,BlankTegn,
IF(Tidstabel[[#This Row],[År]]=0,-VS_Enhedspris,0)),BlankTegn)</f>
        <v>0</v>
      </c>
      <c r="BE27" s="245" t="str">
        <f>IFERROR(IF(Tidstabel[[#This Row],[År]]&gt;Input_Tidshorisont,BlankTegn,
IF(Tidstabel[[#This Row],[År]]=0,VS_Enhedspris/VS_Levetid,BE26*((1+Tidstabel[[#This Row],[Kalkulationsrente]])^-1)*((1+PrisudviklingGenerelt)^1))),BlankTegn)</f>
        <v>.</v>
      </c>
      <c r="BF27" s="178" t="str">
        <f ca="1">IFERROR(IF(Tidstabel[[#This Row],[År]]&gt;Input_Tidshorisont,BlankTegn,
IF(VS_Vedligehold_i=1,IF(Tidstabel[[#This Row],[VS_Uds?]]=0,1,0),IF(MAX(BF26:OFFSET(BG26,2-VS_Vedligehold_i,0),Tidstabel[[#This Row],[VS_Uds?]])=0,1,0))),BlankTegn)</f>
        <v>.</v>
      </c>
      <c r="BG27" s="178" t="str">
        <f>IFERROR(IF(Tidstabel[[#This Row],[År]]&gt;Input_Tidshorisont,BlankTegn,
IF(Tidstabel[[#This Row],[År]]=0,1,IF(MOD(Tidstabel[[#This Row],[År]],VS_Levetid)=0,1,IF(Tidstabel[[#This Row],[År]]=Input_Tidshorisont,0,0)))),BlankTegn)</f>
        <v>.</v>
      </c>
      <c r="BH27" s="245" t="str">
        <f ca="1">IFERROR(IF(Tidstabel[[#This Row],[År]]&gt;Input_Tidshorisont,BlankTegn,
VS_Vedligehold_p*-VS_Enhedspris*Tidstabel[[#This Row],[VS_Ved?]]*((1+Tidstabel[[#This Row],[Kalkulationsrente]])^-Tidstabel[[#This Row],[År]])*((1+PrisudviklingGenerelt)^Tidstabel[[#This Row],[År]])),BlankTegn)</f>
        <v>.</v>
      </c>
      <c r="BI27" s="245" t="str">
        <f>IFERROR(IF(Tidstabel[[#This Row],[År]]&gt;Input_Tidshorisont,BlankTegn,
IF(Tidstabel[[#This Row],[År]]=0,VS_Enhedspris,SUM(BI26:BJ26)*((1+Tidstabel[[#This Row],[Kalkulationsrente]])^-1)*((1+PrisudviklingGenerelt)^1)-Tidstabel[[#This Row],[VS_Afskrivning]])),BlankTegn)</f>
        <v>.</v>
      </c>
      <c r="BJ27" s="245" t="str">
        <f>IFERROR(IF(Tidstabel[[#This Row],[År]]&gt;Input_Tidshorisont,BlankTegn,
IF(Tidstabel[[#This Row],[År]]=0,0,Tidstabel[[#This Row],[VS_Uds?]]*VS_Enhedspris*((1+Tidstabel[[#This Row],[Kalkulationsrente]])^-Tidstabel[[#This Row],[År]])*((1+PrisudviklingGenerelt)^Tidstabel[[#This Row],[År]]))),BlankTegn)</f>
        <v>.</v>
      </c>
      <c r="BK27" s="262" t="str">
        <f>IFERROR(IF(Tidstabel[[#This Row],[År]]&gt;Input_Tidshorisont,BlankTegn,
IF(Tidstabel[[#This Row],[År]]=0,0,Tidstabel[[#This Row],[VS_Uds?]]*-VS_Enhedspris*VS_Genoprettelse*((1+Tidstabel[[#This Row],[Kalkulationsrente]])^-Tidstabel[[#This Row],[År]])*((1+PrisudviklingGenerelt)^Tidstabel[[#This Row],[År]]))),BlankTegn)</f>
        <v>.</v>
      </c>
      <c r="BL27" s="245">
        <f>IFERROR(IF(Tidstabel[[#This Row],[År]]&gt;Input_Tidshorisont,BlankTegn,
IF(Tidstabel[[#This Row],[År]]=0,-EI_Enhedspris,0)),BlankTegn)</f>
        <v>0</v>
      </c>
      <c r="BM27" s="245" t="str">
        <f>IFERROR(IF(Tidstabel[[#This Row],[År]]&gt;Input_Tidshorisont,BlankTegn,
IF(Tidstabel[[#This Row],[År]]=0,EI_Enhedspris/EI_Levetid,BM26*((1+Tidstabel[[#This Row],[Kalkulationsrente]])^-1)*((1+PrisudviklingGenerelt)^1))),BlankTegn)</f>
        <v>.</v>
      </c>
      <c r="BN27" s="178" t="str">
        <f ca="1">IFERROR(IF(Tidstabel[[#This Row],[År]]&gt;Input_Tidshorisont,BlankTegn,
IF(EI_Vedligehold_i=1,IF(Tidstabel[[#This Row],[EI_Uds?]]=0,1,0),IF(MAX(BN26:OFFSET(BO26,2-EI_Vedligehold_i,0),Tidstabel[[#This Row],[EI_Uds?]])=0,1,0))),BlankTegn)</f>
        <v>.</v>
      </c>
      <c r="BO27" s="178" t="str">
        <f>IFERROR(IF(Tidstabel[[#This Row],[År]]&gt;Input_Tidshorisont,BlankTegn,
IF(Tidstabel[[#This Row],[År]]=0,1,IF(MOD(Tidstabel[[#This Row],[År]],EI_Levetid)=0,1,IF(Tidstabel[[#This Row],[År]]=Input_Tidshorisont,0,0)))),BlankTegn)</f>
        <v>.</v>
      </c>
      <c r="BP27" s="245" t="str">
        <f ca="1">IFERROR(IF(Tidstabel[[#This Row],[År]]&gt;Input_Tidshorisont,BlankTegn,
EI_Vedligehold_p*-EI_Enhedspris*Tidstabel[[#This Row],[EI_Ved?]]*((1+Tidstabel[[#This Row],[Kalkulationsrente]])^-Tidstabel[[#This Row],[År]])*((1+PrisudviklingGenerelt)^Tidstabel[[#This Row],[År]])),BlankTegn)</f>
        <v>.</v>
      </c>
      <c r="BQ27" s="245" t="str">
        <f>IFERROR(IF(Tidstabel[[#This Row],[År]]&gt;Input_Tidshorisont,BlankTegn,
IF(Tidstabel[[#This Row],[År]]=0,EI_Enhedspris,SUM(BQ26:BR26)*((1+Tidstabel[[#This Row],[Kalkulationsrente]])^-1)*((1+PrisudviklingGenerelt)^1)-Tidstabel[[#This Row],[EI_Afskrivning]])),BlankTegn)</f>
        <v>.</v>
      </c>
      <c r="BR27" s="245" t="str">
        <f>IFERROR(IF(Tidstabel[[#This Row],[År]]&gt;Input_Tidshorisont,BlankTegn,
IF(Tidstabel[[#This Row],[År]]=0,0,Tidstabel[[#This Row],[EI_Uds?]]*EI_Enhedspris*((1+Tidstabel[[#This Row],[Kalkulationsrente]])^-Tidstabel[[#This Row],[År]])*((1+PrisudviklingGenerelt)^Tidstabel[[#This Row],[År]]))),BlankTegn)</f>
        <v>.</v>
      </c>
      <c r="BS27" s="262" t="str">
        <f>IFERROR(IF(Tidstabel[[#This Row],[År]]&gt;Input_Tidshorisont,BlankTegn,
IF(Tidstabel[[#This Row],[År]]=0,0,Tidstabel[[#This Row],[EI_Uds?]]*-EI_Enhedspris*EI_Genoprettelse*((1+Tidstabel[[#This Row],[Kalkulationsrente]])^-Tidstabel[[#This Row],[År]])*((1+PrisudviklingGenerelt)^Tidstabel[[#This Row],[År]]))),BlankTegn)</f>
        <v>.</v>
      </c>
      <c r="BT27" s="245">
        <f>IFERROR(IF(Tidstabel[[#This Row],[År]]&gt;Input_Tidshorisont,BlankTegn,
IF(Tidstabel[[#This Row],[År]]=0,-AP_Enhedspris,0)),BlankTegn)</f>
        <v>0</v>
      </c>
      <c r="BU27" s="245" t="str">
        <f>IFERROR(IF(Tidstabel[[#This Row],[År]]&gt;Input_Tidshorisont,BlankTegn,
IF(Tidstabel[[#This Row],[År]]=0,AP_Enhedspris/AP_Levetid,BU26*((1+Tidstabel[[#This Row],[Kalkulationsrente]])^-1)*((1+PrisudviklingGenerelt)^1))),BlankTegn)</f>
        <v>.</v>
      </c>
      <c r="BV27" s="178" t="str">
        <f ca="1">IFERROR(IF(Tidstabel[[#This Row],[År]]&gt;Input_Tidshorisont,BlankTegn,
IF(AP_Vedligehold_i=1,IF(Tidstabel[[#This Row],[AP_Uds?]]=0,1,0),IF(MAX(BV26:OFFSET(BW26,2-AP_Vedligehold_i,0),Tidstabel[[#This Row],[AP_Uds?]])=0,1,0))),BlankTegn)</f>
        <v>.</v>
      </c>
      <c r="BW27" s="178" t="str">
        <f>IFERROR(IF(Tidstabel[[#This Row],[År]]&gt;Input_Tidshorisont,BlankTegn,
IF(Tidstabel[[#This Row],[År]]=0,1,IF(MOD(Tidstabel[[#This Row],[År]],AP_Levetid)=0,1,IF(Tidstabel[[#This Row],[År]]=Input_Tidshorisont,0,0)))),BlankTegn)</f>
        <v>.</v>
      </c>
      <c r="BX27" s="245" t="str">
        <f ca="1">IFERROR(IF(Tidstabel[[#This Row],[År]]&gt;Input_Tidshorisont,BlankTegn,
AP_Vedligehold_p*-AP_Enhedspris*Tidstabel[[#This Row],[AP_Ved?]]*((1+Tidstabel[[#This Row],[Kalkulationsrente]])^-Tidstabel[[#This Row],[År]])*((1+PrisudviklingGenerelt)^Tidstabel[[#This Row],[År]])),BlankTegn)</f>
        <v>.</v>
      </c>
      <c r="BY27" s="245" t="str">
        <f>IFERROR(IF(Tidstabel[[#This Row],[År]]&gt;Input_Tidshorisont,BlankTegn,
IF(Tidstabel[[#This Row],[År]]=0,AP_Enhedspris,SUM(BY26:BZ26)*((1+Tidstabel[[#This Row],[Kalkulationsrente]])^-1)*((1+PrisudviklingGenerelt)^1)-Tidstabel[[#This Row],[AP_Afskrivning]])),BlankTegn)</f>
        <v>.</v>
      </c>
      <c r="BZ27" s="245" t="str">
        <f>IFERROR(IF(Tidstabel[[#This Row],[År]]&gt;Input_Tidshorisont,BlankTegn,
IF(Tidstabel[[#This Row],[År]]=0,0,Tidstabel[[#This Row],[AP_Uds?]]*AP_Enhedspris*((1+Tidstabel[[#This Row],[Kalkulationsrente]])^-Tidstabel[[#This Row],[År]])*((1+PrisudviklingGenerelt)^Tidstabel[[#This Row],[År]]))),BlankTegn)</f>
        <v>.</v>
      </c>
      <c r="CA27" s="262" t="str">
        <f>IFERROR(IF(Tidstabel[[#This Row],[År]]&gt;Input_Tidshorisont,BlankTegn,
IF(Tidstabel[[#This Row],[År]]=0,0,Tidstabel[[#This Row],[AP_Uds?]]*-AP_Enhedspris*AP_Genoprettelse*((1+Tidstabel[[#This Row],[Kalkulationsrente]])^-Tidstabel[[#This Row],[År]])*((1+PrisudviklingGenerelt)^Tidstabel[[#This Row],[År]]))),BlankTegn)</f>
        <v>.</v>
      </c>
      <c r="CB27" s="245">
        <f>IFERROR(IF(Tidstabel[[#This Row],[År]]&gt;Input_Tidshorisont,BlankTegn,
IF(Tidstabel[[#This Row],[År]]=0,-SK_Enhedspris,0)),BlankTegn)</f>
        <v>0</v>
      </c>
      <c r="CC27" s="245" t="str">
        <f>IFERROR(IF(Tidstabel[[#This Row],[År]]&gt;Input_Tidshorisont,BlankTegn,
IF(Tidstabel[[#This Row],[År]]=0,SK_Enhedspris/SK_Levetid,CC26*((1+Tidstabel[[#This Row],[Kalkulationsrente]])^-1)*((1+PrisudviklingGenerelt)^1))),BlankTegn)</f>
        <v>.</v>
      </c>
      <c r="CD27" s="178" t="str">
        <f ca="1">IFERROR(IF(Tidstabel[[#This Row],[År]]&gt;Input_Tidshorisont,BlankTegn,
IF(SK_Vedligehold_i=1,IF(Tidstabel[[#This Row],[SK_Uds?]]=0,1,0),IF(MAX(CD26:OFFSET(CE26,2-SK_Vedligehold_i,0),Tidstabel[[#This Row],[SK_Uds?]])=0,1,0))),BlankTegn)</f>
        <v>.</v>
      </c>
      <c r="CE27" s="178" t="str">
        <f>IFERROR(IF(Tidstabel[[#This Row],[År]]&gt;Input_Tidshorisont,BlankTegn,
IF(Tidstabel[[#This Row],[År]]=0,1,IF(MOD(Tidstabel[[#This Row],[År]],SK_Levetid)=0,1,IF(Tidstabel[[#This Row],[År]]=Input_Tidshorisont,0,0)))),BlankTegn)</f>
        <v>.</v>
      </c>
      <c r="CF27" s="245" t="str">
        <f ca="1">IFERROR(IF(Tidstabel[[#This Row],[År]]&gt;Input_Tidshorisont,BlankTegn,
SK_Vedligehold_p*-SK_Enhedspris*Tidstabel[[#This Row],[SK_Ved?]]*((1+Tidstabel[[#This Row],[Kalkulationsrente]])^-Tidstabel[[#This Row],[År]])*((1+PrisudviklingGenerelt)^Tidstabel[[#This Row],[År]])),BlankTegn)</f>
        <v>.</v>
      </c>
      <c r="CG27" s="245" t="str">
        <f>IFERROR(IF(Tidstabel[[#This Row],[År]]&gt;Input_Tidshorisont,BlankTegn,
IF(Tidstabel[[#This Row],[År]]=0,SK_Enhedspris,SUM(CG26:CH26)*((1+Tidstabel[[#This Row],[Kalkulationsrente]])^-1)*((1+PrisudviklingGenerelt)^1)-Tidstabel[[#This Row],[SK_Afskrivning]])),BlankTegn)</f>
        <v>.</v>
      </c>
      <c r="CH27" s="245" t="str">
        <f>IFERROR(IF(Tidstabel[[#This Row],[År]]&gt;Input_Tidshorisont,BlankTegn,
IF(Tidstabel[[#This Row],[År]]=0,0,Tidstabel[[#This Row],[SK_Uds?]]*SK_Enhedspris*((1+Tidstabel[[#This Row],[Kalkulationsrente]])^-Tidstabel[[#This Row],[År]])*((1+PrisudviklingGenerelt)^Tidstabel[[#This Row],[År]]))),BlankTegn)</f>
        <v>.</v>
      </c>
      <c r="CI27" s="262" t="str">
        <f>IFERROR(IF(Tidstabel[[#This Row],[År]]&gt;Input_Tidshorisont,BlankTegn,
IF(Tidstabel[[#This Row],[År]]=0,0,Tidstabel[[#This Row],[SK_Uds?]]*-SK_Enhedspris*SK_Genoprettelse*((1+Tidstabel[[#This Row],[Kalkulationsrente]])^-Tidstabel[[#This Row],[År]])*((1+PrisudviklingGenerelt)^Tidstabel[[#This Row],[År]]))),BlankTegn)</f>
        <v>.</v>
      </c>
      <c r="CJ27" s="19"/>
    </row>
    <row r="28" spans="1:88">
      <c r="A28" s="250">
        <v>21</v>
      </c>
      <c r="B28" s="250">
        <f>Input_Etableringsår+Tidstabel[[#This Row],[År]]</f>
        <v>2045</v>
      </c>
      <c r="C28" s="274" cm="1">
        <f t="array" ref="C28">_xlfn.IFS(Tidstabel[[#This Row],[År]]&gt;KR_Trin3_Tærskel,KR_Trin3_Rente,Tidstabel[[#This Row],[År]]&gt;KR_Trin2_Tærskel,KR_Trin2_Rente,Tidstabel[[#This Row],[År]]&gt;KR_Trin1_Tærskel,KR_Trin1_Rente,Tidstabel[[#This Row],[År]]&gt;KR_Trin0_Tærskel,KR_Trin0_Rente)</f>
        <v>3.5000000000000003E-2</v>
      </c>
      <c r="D28" s="142" t="str" cm="1">
        <f t="array" ref="D28">IFERROR(
INDEX(Range_Materiale_ÅrligeEmissioner,MATCH(1,(Materialedata[Komponent]=FB_Titel)*(Materialedata[Materiale]=FB_Materiale),0),MATCH(Tidstabel[[#This Row],[År]],Range_Materiale_År,0)),BlankTegn)</f>
        <v>.</v>
      </c>
      <c r="E28" s="142" t="str" cm="1">
        <f t="array" ref="E28">IFERROR(
INDEX(Range_Materiale_ÅrligeEmissioner,MATCH(1,(Materialedata[Komponent]=SK_Titel)*(Materialedata[Materiale]=SK_Materiale),0),MATCH(Tidstabel[[#This Row],[År]],Range_Materiale_År,0)),BlankTegn)</f>
        <v>.</v>
      </c>
      <c r="F28" s="142" t="str" cm="1">
        <f t="array" ref="F28">IFERROR(
INDEX(Range_Materiale_ÅrligeEmissioner,MATCH(1,(Materialedata[Komponent]=EI_Titel)*(Materialedata[Materiale]=EI_Materiale),0),MATCH(Tidstabel[[#This Row],[År]],Range_Materiale_År,0)),BlankTegn)</f>
        <v>.</v>
      </c>
      <c r="G28" s="142" t="str" cm="1">
        <f t="array" ref="G28">IFERROR(
INDEX(Range_Materiale_ÅrligeEmissioner,MATCH(1,(Materialedata[Komponent]=AP_Titel)*(Materialedata[Materiale]=AP_Materiale),0),MATCH(Tidstabel[[#This Row],[År]],Range_Materiale_År,0)),BlankTegn)</f>
        <v>.</v>
      </c>
      <c r="H28" s="142" t="str" cm="1">
        <f t="array" ref="H28">IFERROR(
INDEX(Range_Materiale_ÅrligeEmissioner,MATCH(1,(Materialedata[Komponent]=VS_Titel)*(Materialedata[Materiale]=VS_Materiale),0),MATCH(Tidstabel[[#This Row],[År]],Range_Materiale_År,0)),BlankTegn)</f>
        <v>.</v>
      </c>
      <c r="I28" s="142" t="str">
        <f>IFERROR(
IF(SUM(Tidstabel[[#This Row],[Facadebeklædning]:[Vindspærre]])=0,BlankTegn,
SUM(Tidstabel[[#This Row],[Facadebeklædning]:[Vindspærre]])),BlankTegn)</f>
        <v>.</v>
      </c>
      <c r="J28" s="139">
        <f>IF(Tidstabel[[#This Row],[År]]&gt;Input_Tidshorisont,BlankTegn,
A5_ElVarmeBrændstofByggeplads)</f>
        <v>0.25</v>
      </c>
      <c r="K28" s="142" t="str">
        <f>IFERROR(IF(Tidstabel[[#This Row],[År]]&gt;Input_Tidshorisont,BlankTegn,
-1*INDEX(Range_Energi_ÅrligBesparelse,MATCH(Input_EksisterendeFacade,Energiberegning[Ydervæg],0),MATCH(Tidstabel[[#This Row],[Årstal]],Range_Energi_Årstal,0))),BlankTegn)</f>
        <v>.</v>
      </c>
      <c r="L28" s="142">
        <f>IF(Tidstabel[[#This Row],[År]]&gt;Input_Tidshorisont,BlankTegn,
(Tidstabel[[#This Row],[År]]+1)*(SUM(Vedligeholdelsesmaterialer[Facadefarve],Vedligeholdelsesmaterialer[Grunder og mellemmaling])/12+SUM(Vedligeholdelsesmaterialer[Puds])/30))</f>
        <v>7.1467942883333331</v>
      </c>
      <c r="M28" s="142" t="str">
        <f>IFERROR(IF(Tidstabel[[#This Row],[År]]&gt;Input_Tidshorisont,BlankTegn,
Tidstabel[[#This Row],[Materialer_Total]]+Tidstabel[[#This Row],[Byggeprocess]]),BlankTegn)</f>
        <v>.</v>
      </c>
      <c r="N28" s="142" t="str">
        <f>IFERROR(IF(Tidstabel[[#This Row],[År]]&gt;Input_Tidshorisont,BlankTegn,
Tidstabel[[#This Row],[Energibesparelse]]+Tidstabel[[#This Row],[Emission_Brutto]]),BlankTegn)</f>
        <v>.</v>
      </c>
      <c r="O28" s="142" t="str">
        <f>IFERROR(IF(Tidstabel[[#This Row],[År]]&gt;Input_Tidshorisont,BlankTegn,
Tidstabel[[#This Row],[Emission_Netto]]-Tidstabel[[#This Row],[Vedligehold_EksisterendeFacade]]),BlankTegn)</f>
        <v>.</v>
      </c>
      <c r="P28" s="271" t="str">
        <f>IFERROR(IF(Tidstabel[[#This Row],[År]]&gt;Input_Tidshorisont,BlankTegn,
IF(AND(Tidstabel[[#This Row],[Emission_Netto]]-Tidstabel[[#This Row],[Vedligehold_EksisterendeFacade]]&gt;0,N29-L29&lt;0),-1,IF(AND(Tidstabel[[#This Row],[Emission_Netto]]-Tidstabel[[#This Row],[Vedligehold_EksisterendeFacade]]&lt;0,N29-L29&gt;0),1,0))),BlankTegn)</f>
        <v>.</v>
      </c>
      <c r="Q28" s="174" t="str">
        <f>IF(Tidstabel[[#This Row],[År]]&gt;Input_Tidshorisont,BlankTegn,
IF(Tidstabel[[#This Row],[LCA-Skæring]]=-1,SUM(Tidstabel[[#This Row],[År]]*(1-ABS(Tidstabel[[#This Row],[LCA-Difference]])/(ABS(Tidstabel[[#This Row],[LCA-Difference]])+ABS(O29))),A29*(1-ABS(O29)/(ABS(Tidstabel[[#This Row],[LCA-Difference]])+ABS(O29)))),"-"))</f>
        <v>-</v>
      </c>
      <c r="R28" s="174" t="str">
        <f>IF(Tidstabel[[#This Row],[År]]&gt;Input_Tidshorisont,BlankTegn,
IF(Tidstabel[[#This Row],[LCA-Skæring]]=-1,SUM(Tidstabel[[#This Row],[Emission_Netto]]*(1-ABS(Tidstabel[[#This Row],[LCA-Difference]])/(ABS(Tidstabel[[#This Row],[LCA-Difference]])+ABS(O29))),N29*(1-ABS(O29)/(ABS(Tidstabel[[#This Row],[LCA-Difference]])+ABS(O29)))),"-"))</f>
        <v>-</v>
      </c>
      <c r="S28" s="174" t="str">
        <f>IF(Tidstabel[[#This Row],[År]]&gt;Input_Tidshorisont,BlankTegn,
IF(Tidstabel[[#This Row],[LCA-Skæring]]=1,SUM(Tidstabel[[#This Row],[År]]*(1-ABS(Tidstabel[[#This Row],[LCA-Difference]])/(ABS(Tidstabel[[#This Row],[LCA-Difference]])+ABS(O29))),A29*(1-ABS(O29)/(ABS(Tidstabel[[#This Row],[LCA-Difference]])+ABS(O29)))),"-"))</f>
        <v>-</v>
      </c>
      <c r="T28" s="264" t="str">
        <f>IF(Tidstabel[[#This Row],[År]]&gt;Input_Tidshorisont,BlankTegn,
IF(Tidstabel[[#This Row],[LCA-Skæring]]=1,SUM(Tidstabel[[#This Row],[Emission_Netto]]*(1-ABS(Tidstabel[[#This Row],[LCA-Difference]])/(ABS(Tidstabel[[#This Row],[LCA-Difference]])+ABS(O29))),N29*(1-ABS(O29)/(ABS(Tidstabel[[#This Row],[LCA-Difference]])+ABS(O29)))),"-"))</f>
        <v>-</v>
      </c>
      <c r="U28" s="142" t="str">
        <f ca="1">IFERROR(IF(Tidstabel[[#This Row],[År]]&gt;Input_Tidshorisont,BlankTegn,
Tidstabel[[#This Row],[NPV_Klimafacade]]-Tidstabel[[#This Row],[NPV_Eksisterende]]),BlankTegn)</f>
        <v>.</v>
      </c>
      <c r="V28" s="271" t="str">
        <f ca="1">IFERROR(IF(Tidstabel[[#This Row],[År]]&gt;Input_Tidshorisont,BlankTegn,
IF(AND(Tidstabel[[#This Row],[NPV_Klimafacade]]-Tidstabel[[#This Row],[NPV_Eksisterende]]&gt;0,AB29-AA29&lt;0),1,IF(AND(Tidstabel[[#This Row],[NPV_Klimafacade]]-Tidstabel[[#This Row],[NPV_Eksisterende]]&lt;0,AB29-AA29&gt;0),-1,0))),BlankTegn)</f>
        <v>.</v>
      </c>
      <c r="W28" s="174" t="str">
        <f ca="1">IF(Tidstabel[[#This Row],[År]]&gt;Input_Tidshorisont,BlankTegn,
IF(Tidstabel[[#This Row],[LCC-Skæring]]=-1,SUM(Tidstabel[[#This Row],[År]]*(1-ABS(Tidstabel[[#This Row],[LCC-Difference]])/(ABS(Tidstabel[[#This Row],[LCC-Difference]])+ABS(U29))),A29*(1-ABS(U29)/(ABS(Tidstabel[[#This Row],[LCC-Difference]])+ABS(U29)))),"-"))</f>
        <v>-</v>
      </c>
      <c r="X28" s="174" t="str">
        <f ca="1">IF(Tidstabel[[#This Row],[År]]&gt;Input_Tidshorisont,BlankTegn,
IF(Tidstabel[[#This Row],[LCC-Skæring]]=-1,SUM(Tidstabel[[#This Row],[NPV_Klimafacade]]*(1-ABS(Tidstabel[[#This Row],[LCC-Difference]])/(ABS(Tidstabel[[#This Row],[LCC-Difference]])+ABS(U29))),AB29*(1-ABS(U29)/(ABS(Tidstabel[[#This Row],[LCC-Difference]])+ABS(U29)))),"-"))</f>
        <v>-</v>
      </c>
      <c r="Y28" s="174" t="str">
        <f ca="1">IF(Tidstabel[[#This Row],[År]]&gt;Input_Tidshorisont,BlankTegn,
IF(Tidstabel[[#This Row],[LCC-Skæring]]=1,SUM(Tidstabel[[#This Row],[År]]*(1-ABS(Tidstabel[[#This Row],[LCC-Difference]])/(ABS(Tidstabel[[#This Row],[LCC-Difference]])+ABS(U29))),A29*(1-ABS(U29)/(ABS(Tidstabel[[#This Row],[LCC-Difference]])+ABS(U29)))),"-"))</f>
        <v>-</v>
      </c>
      <c r="Z28" s="264" t="str">
        <f ca="1">IF(Tidstabel[[#This Row],[År]]&gt;Input_Tidshorisont,BlankTegn,
IF(Tidstabel[[#This Row],[LCC-Skæring]]=1,SUM(Tidstabel[[#This Row],[NPV_Klimafacade]]*(1-ABS(Tidstabel[[#This Row],[LCC-Difference]])/(ABS(Tidstabel[[#This Row],[LCC-Difference]])+ABS(U29))),AB29*(1-ABS(U29)/(ABS(Tidstabel[[#This Row],[LCC-Difference]])+ABS(U29)))),"-"))</f>
        <v>-</v>
      </c>
      <c r="AA28" s="142">
        <f ca="1">IF(Tidstabel[[#This Row],[År]]&gt;Input_Tidshorisont,BlankTegn,
Tidstabel[[#This Row],[EF_Vedligehold_Aggregeret]])</f>
        <v>-167.15647949946015</v>
      </c>
      <c r="AB28"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28" s="142" t="str">
        <f>IFERROR(IF(Tidstabel[[#This Row],[År]]&gt;Input_Tidshorisont,BlankTegn,
Tidstabel[[#This Row],[KF_Anskaffelse_Aggregeret]]+Tidstabel[[#This Row],[KF_Engangsudgifter_Aggregeret]]),BlankTegn)</f>
        <v>.</v>
      </c>
      <c r="AD28" s="174">
        <f ca="1">IFERROR(IF(Tidstabel[[#This Row],[År]]&gt;Input_Tidshorisont,BlankTegn,
IF(Tidstabel[[#This Row],[År]]=0,0,Tidstabel[[#This Row],[NPV_Eksisterende]]*(Tidstabel[[#This Row],[Kalkulationsrente]]/(1-(1+Tidstabel[[#This Row],[Kalkulationsrente]])^-Tidstabel[[#This Row],[År]])))),BlankTegn)</f>
        <v>-11.372756352031415</v>
      </c>
      <c r="AE28" s="264" t="str">
        <f ca="1">IFERROR(IF(Tidstabel[[#This Row],[År]]&gt;Input_Tidshorisont,BlankTegn,
IF(Tidstabel[[#This Row],[År]]=0,0,Tidstabel[[#This Row],[NPV_Klimafacade]]*(Tidstabel[[#This Row],[Kalkulationsrente]]/(1-(1+Tidstabel[[#This Row],[Kalkulationsrente]])^-Tidstabel[[#This Row],[År]])))),BlankTegn)</f>
        <v>.</v>
      </c>
      <c r="AF28" s="270">
        <f ca="1">IF(Tidstabel[[#This Row],[År]]&gt;Input_Tidshorisont,BlankTegn,
IF(EF_Vedligehold_i=1,IF(Tidstabel[[#This Row],[EF_Uds?]]=0,1,0),IF(MAX(AF27:OFFSET(AG27,2-EF_Vedligehold_i,0),Tidstabel[[#This Row],[EF_Uds?]])=0,1,0)))</f>
        <v>1</v>
      </c>
      <c r="AG28" s="181">
        <f>IF(Tidstabel[[#This Row],[År]]&gt;Input_Tidshorisont,BlankTegn,0)</f>
        <v>0</v>
      </c>
      <c r="AH28" s="263">
        <f ca="1">IF(Tidstabel[[#This Row],[År]]&gt;Input_Tidshorisont,BlankTegn,
Tidstabel[[#This Row],[EF_Ved?]]*EF_Vedligehold_p*-EF_Enhedspris*((1+Tidstabel[[#This Row],[Kalkulationsrente]])^-Tidstabel[[#This Row],[År]])*((1+PrisudviklingGenerelt)^Tidstabel[[#This Row],[År]]))</f>
        <v>-5.1704966262538878</v>
      </c>
      <c r="AI28" s="262">
        <f ca="1">IF(Tidstabel[[#This Row],[År]]&gt;Input_Tidshorisont,BlankTegn,
IF(Tidstabel[[#This Row],[År]]=0,Tidstabel[[#This Row],[EF_Vedligehold]],AI27+Tidstabel[[#This Row],[EF_Vedligehold]]))</f>
        <v>-167.15647949946015</v>
      </c>
      <c r="AJ28" s="245">
        <f>IFERROR(IF(Tidstabel[[#This Row],[År]]&gt;Input_Tidshorisont,BlankTegn,
Tidstabel[[#This Row],[FB_Anskaffelse]]+Tidstabel[[#This Row],[VS_Anskaffelse]]+Tidstabel[[#This Row],[EI_Anskaffelse]]+Tidstabel[[#This Row],[AP_Anskaffelse]]+Tidstabel[[#This Row],[SK_Anskaffelse]]),BlankTegn)</f>
        <v>0</v>
      </c>
      <c r="AK28" s="245" t="str">
        <f>IFERROR(IF(Tidstabel[[#This Row],[År]]&gt;Input_Tidshorisont,BlankTegn,
IF(Tidstabel[[#This Row],[År]]=0,Tidstabel[[#This Row],[KF_Anskaffelse]],AK27+Tidstabel[[#This Row],[KF_Anskaffelse]])),BlankTegn)</f>
        <v>.</v>
      </c>
      <c r="AL28" s="246" t="str">
        <f ca="1">IFERROR(IF(Tidstabel[[#This Row],[År]]&gt;Input_Tidshorisont,BlankTegn,
Tidstabel[[#This Row],[FB_Vedligehold]]+Tidstabel[[#This Row],[VS_Vedligehold]]+Tidstabel[[#This Row],[EI_Vedligehold]]+Tidstabel[[#This Row],[AP_Vedligehold]]+Tidstabel[[#This Row],[SK_Vedligehold]]),BlankTegn)</f>
        <v>.</v>
      </c>
      <c r="AM28" s="245" t="str">
        <f ca="1">IFERROR(IF(Tidstabel[[#This Row],[År]]&gt;Input_Tidshorisont,BlankTegn,
IF(Tidstabel[[#This Row],[År]]=0,Tidstabel[[#This Row],[KF_Vedligehold]],AM27+Tidstabel[[#This Row],[KF_Vedligehold]])),BlankTegn)</f>
        <v>.</v>
      </c>
      <c r="AN28"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28"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28" s="245" t="str">
        <f>IFERROR(IF(Tidstabel[[#This Row],[År]]&gt;Input_Tidshorisont,BlankTegn,
IF(Tidstabel[[#This Row],[År]]=0,Tidstabel[[#This Row],[KF_Udskiftning_Komponent]],AP27+Tidstabel[[#This Row],[KF_Udskiftning_Komponent]])),BlankTegn)</f>
        <v>.</v>
      </c>
      <c r="AQ28" s="245">
        <f>IF(Tidstabel[[#This Row],[År]]&gt;Input_Tidshorisont,BlankTegn,
IF(Tidstabel[[#This Row],[År]]=0,-SUM(Engangsudgifter[Udgift]),0))</f>
        <v>0</v>
      </c>
      <c r="AR28" s="245">
        <f>IFERROR(IF(Tidstabel[[#This Row],[År]]&gt;Input_Tidshorisont,BlankTegn,
IF(Tidstabel[[#This Row],[År]]=0,Tidstabel[[#This Row],[KF_Engangsudgifter]],AR27+Tidstabel[[#This Row],[KF_Engangsudgifter]])),BlankTegn)</f>
        <v>0</v>
      </c>
      <c r="AS28" s="315" t="str">
        <f>IFERROR(IF(Tidstabel[[#This Row],[År]]&gt;Input_Tidshorisont,BlankTegn,
-Energibesparelse_Årlig),BlankTegn)</f>
        <v>.</v>
      </c>
      <c r="AT28" s="245" t="str">
        <f>IFERROR(IF(Tidstabel[[#This Row],[År]]&gt;Input_Tidshorisont,BlankTegn,
IF(Tidstabel[[#This Row],[År]]=0,0,-Tidstabel[[#This Row],[KF_Energiforbrug]]*Input_Fjernvarmepris*((1+Tidstabel[[#This Row],[Kalkulationsrente]])^-Tidstabel[[#This Row],[År]])*((1+PrisudviklingFjernvarme)^Tidstabel[[#This Row],[År]]))),BlankTegn)</f>
        <v>.</v>
      </c>
      <c r="AU28" s="262" t="str">
        <f>IFERROR(IF(Tidstabel[[#This Row],[År]]&gt;Input_Tidshorisont,BlankTegn,
IF(Tidstabel[[#This Row],[År]]=0,Tidstabel[[#This Row],[KF_Forsyning]],AU27+Tidstabel[[#This Row],[KF_Forsyning]])),BlankTegn)</f>
        <v>.</v>
      </c>
      <c r="AV28" s="245">
        <f>IFERROR(IF(Tidstabel[[#This Row],[År]]&gt;Input_Tidshorisont,BlankTegn,
IF(Tidstabel[[#This Row],[År]]=0,-FB_Enhedspris,0)),BlankTegn)</f>
        <v>0</v>
      </c>
      <c r="AW28" s="245" t="str">
        <f>IFERROR(IF(Tidstabel[[#This Row],[År]]&gt;Input_Tidshorisont,BlankTegn,
IF(Tidstabel[[#This Row],[År]]=0,FB_Enhedspris/FB_Levetid,AW27*((1+Tidstabel[[#This Row],[Kalkulationsrente]])^-1)*((1+PrisudviklingGenerelt)^1))),BlankTegn)</f>
        <v>.</v>
      </c>
      <c r="AX28" s="178" t="str">
        <f ca="1">IFERROR(IF(Tidstabel[[#This Row],[År]]&gt;Input_Tidshorisont,BlankTegn,
IF(FB_Vedligehold_i=1,IF(Tidstabel[[#This Row],[FB_Uds?]]=0,1,0),IF(MAX(AX27:OFFSET(AY27,2-FB_Vedligehold_i,0),Tidstabel[[#This Row],[FB_Uds?]])=0,1,0))),BlankTegn)</f>
        <v>.</v>
      </c>
      <c r="AY28" s="178" t="str">
        <f>IFERROR(IF(Tidstabel[[#This Row],[År]]&gt;Input_Tidshorisont,BlankTegn,
IF(Tidstabel[[#This Row],[År]]=0,1,IF(MOD(Tidstabel[[#This Row],[År]],FB_Levetid)=0,1,IF(Tidstabel[[#This Row],[År]]=Input_Tidshorisont,0,0)))),BlankTegn)</f>
        <v>.</v>
      </c>
      <c r="AZ28" s="245" t="str">
        <f ca="1">IFERROR(IF(Tidstabel[[#This Row],[År]]&gt;Input_Tidshorisont,BlankTegn,
FB_Vedligehold_p*-FB_Enhedspris*Tidstabel[[#This Row],[FB_Ved?]]*((1+Tidstabel[[#This Row],[Kalkulationsrente]])^-Tidstabel[[#This Row],[År]])*((1+PrisudviklingGenerelt)^Tidstabel[[#This Row],[År]])),BlankTegn)</f>
        <v>.</v>
      </c>
      <c r="BA28" s="245" t="str">
        <f>IFERROR(IF(Tidstabel[[#This Row],[År]]&gt;Input_Tidshorisont,BlankTegn,
IF(Tidstabel[[#This Row],[År]]=0,FB_Enhedspris,SUM(BA27:BB27)*((1+Tidstabel[[#This Row],[Kalkulationsrente]])^-1)*((1+PrisudviklingGenerelt)^1)-Tidstabel[[#This Row],[FB_Afskrivning]])),BlankTegn)</f>
        <v>.</v>
      </c>
      <c r="BB28" s="245" t="str">
        <f>IFERROR(IF(Tidstabel[[#This Row],[År]]&gt;Input_Tidshorisont,BlankTegn,
IF(Tidstabel[[#This Row],[År]]=0,0,Tidstabel[[#This Row],[FB_Uds?]]*FB_Enhedspris*((1+Tidstabel[[#This Row],[Kalkulationsrente]])^-Tidstabel[[#This Row],[År]])*((1+PrisudviklingGenerelt)^Tidstabel[[#This Row],[År]]))),BlankTegn)</f>
        <v>.</v>
      </c>
      <c r="BC28" s="262" t="str">
        <f>IFERROR(IF(Tidstabel[[#This Row],[År]]&gt;Input_Tidshorisont,BlankTegn,
IF(Tidstabel[[#This Row],[År]]=0,0,Tidstabel[[#This Row],[FB_Uds?]]*-FB_Enhedspris*FB_Genoprettelse*((1+Tidstabel[[#This Row],[Kalkulationsrente]])^-Tidstabel[[#This Row],[År]])*((1+PrisudviklingGenerelt)^Tidstabel[[#This Row],[År]]))),BlankTegn)</f>
        <v>.</v>
      </c>
      <c r="BD28" s="245">
        <f>IFERROR(IF(Tidstabel[[#This Row],[År]]&gt;Input_Tidshorisont,BlankTegn,
IF(Tidstabel[[#This Row],[År]]=0,-VS_Enhedspris,0)),BlankTegn)</f>
        <v>0</v>
      </c>
      <c r="BE28" s="245" t="str">
        <f>IFERROR(IF(Tidstabel[[#This Row],[År]]&gt;Input_Tidshorisont,BlankTegn,
IF(Tidstabel[[#This Row],[År]]=0,VS_Enhedspris/VS_Levetid,BE27*((1+Tidstabel[[#This Row],[Kalkulationsrente]])^-1)*((1+PrisudviklingGenerelt)^1))),BlankTegn)</f>
        <v>.</v>
      </c>
      <c r="BF28" s="178" t="str">
        <f ca="1">IFERROR(IF(Tidstabel[[#This Row],[År]]&gt;Input_Tidshorisont,BlankTegn,
IF(VS_Vedligehold_i=1,IF(Tidstabel[[#This Row],[VS_Uds?]]=0,1,0),IF(MAX(BF27:OFFSET(BG27,2-VS_Vedligehold_i,0),Tidstabel[[#This Row],[VS_Uds?]])=0,1,0))),BlankTegn)</f>
        <v>.</v>
      </c>
      <c r="BG28" s="178" t="str">
        <f>IFERROR(IF(Tidstabel[[#This Row],[År]]&gt;Input_Tidshorisont,BlankTegn,
IF(Tidstabel[[#This Row],[År]]=0,1,IF(MOD(Tidstabel[[#This Row],[År]],VS_Levetid)=0,1,IF(Tidstabel[[#This Row],[År]]=Input_Tidshorisont,0,0)))),BlankTegn)</f>
        <v>.</v>
      </c>
      <c r="BH28" s="245" t="str">
        <f ca="1">IFERROR(IF(Tidstabel[[#This Row],[År]]&gt;Input_Tidshorisont,BlankTegn,
VS_Vedligehold_p*-VS_Enhedspris*Tidstabel[[#This Row],[VS_Ved?]]*((1+Tidstabel[[#This Row],[Kalkulationsrente]])^-Tidstabel[[#This Row],[År]])*((1+PrisudviklingGenerelt)^Tidstabel[[#This Row],[År]])),BlankTegn)</f>
        <v>.</v>
      </c>
      <c r="BI28" s="245" t="str">
        <f>IFERROR(IF(Tidstabel[[#This Row],[År]]&gt;Input_Tidshorisont,BlankTegn,
IF(Tidstabel[[#This Row],[År]]=0,VS_Enhedspris,SUM(BI27:BJ27)*((1+Tidstabel[[#This Row],[Kalkulationsrente]])^-1)*((1+PrisudviklingGenerelt)^1)-Tidstabel[[#This Row],[VS_Afskrivning]])),BlankTegn)</f>
        <v>.</v>
      </c>
      <c r="BJ28" s="245" t="str">
        <f>IFERROR(IF(Tidstabel[[#This Row],[År]]&gt;Input_Tidshorisont,BlankTegn,
IF(Tidstabel[[#This Row],[År]]=0,0,Tidstabel[[#This Row],[VS_Uds?]]*VS_Enhedspris*((1+Tidstabel[[#This Row],[Kalkulationsrente]])^-Tidstabel[[#This Row],[År]])*((1+PrisudviklingGenerelt)^Tidstabel[[#This Row],[År]]))),BlankTegn)</f>
        <v>.</v>
      </c>
      <c r="BK28" s="262" t="str">
        <f>IFERROR(IF(Tidstabel[[#This Row],[År]]&gt;Input_Tidshorisont,BlankTegn,
IF(Tidstabel[[#This Row],[År]]=0,0,Tidstabel[[#This Row],[VS_Uds?]]*-VS_Enhedspris*VS_Genoprettelse*((1+Tidstabel[[#This Row],[Kalkulationsrente]])^-Tidstabel[[#This Row],[År]])*((1+PrisudviklingGenerelt)^Tidstabel[[#This Row],[År]]))),BlankTegn)</f>
        <v>.</v>
      </c>
      <c r="BL28" s="245">
        <f>IFERROR(IF(Tidstabel[[#This Row],[År]]&gt;Input_Tidshorisont,BlankTegn,
IF(Tidstabel[[#This Row],[År]]=0,-EI_Enhedspris,0)),BlankTegn)</f>
        <v>0</v>
      </c>
      <c r="BM28" s="245" t="str">
        <f>IFERROR(IF(Tidstabel[[#This Row],[År]]&gt;Input_Tidshorisont,BlankTegn,
IF(Tidstabel[[#This Row],[År]]=0,EI_Enhedspris/EI_Levetid,BM27*((1+Tidstabel[[#This Row],[Kalkulationsrente]])^-1)*((1+PrisudviklingGenerelt)^1))),BlankTegn)</f>
        <v>.</v>
      </c>
      <c r="BN28" s="178" t="str">
        <f ca="1">IFERROR(IF(Tidstabel[[#This Row],[År]]&gt;Input_Tidshorisont,BlankTegn,
IF(EI_Vedligehold_i=1,IF(Tidstabel[[#This Row],[EI_Uds?]]=0,1,0),IF(MAX(BN27:OFFSET(BO27,2-EI_Vedligehold_i,0),Tidstabel[[#This Row],[EI_Uds?]])=0,1,0))),BlankTegn)</f>
        <v>.</v>
      </c>
      <c r="BO28" s="178" t="str">
        <f>IFERROR(IF(Tidstabel[[#This Row],[År]]&gt;Input_Tidshorisont,BlankTegn,
IF(Tidstabel[[#This Row],[År]]=0,1,IF(MOD(Tidstabel[[#This Row],[År]],EI_Levetid)=0,1,IF(Tidstabel[[#This Row],[År]]=Input_Tidshorisont,0,0)))),BlankTegn)</f>
        <v>.</v>
      </c>
      <c r="BP28" s="245" t="str">
        <f ca="1">IFERROR(IF(Tidstabel[[#This Row],[År]]&gt;Input_Tidshorisont,BlankTegn,
EI_Vedligehold_p*-EI_Enhedspris*Tidstabel[[#This Row],[EI_Ved?]]*((1+Tidstabel[[#This Row],[Kalkulationsrente]])^-Tidstabel[[#This Row],[År]])*((1+PrisudviklingGenerelt)^Tidstabel[[#This Row],[År]])),BlankTegn)</f>
        <v>.</v>
      </c>
      <c r="BQ28" s="245" t="str">
        <f>IFERROR(IF(Tidstabel[[#This Row],[År]]&gt;Input_Tidshorisont,BlankTegn,
IF(Tidstabel[[#This Row],[År]]=0,EI_Enhedspris,SUM(BQ27:BR27)*((1+Tidstabel[[#This Row],[Kalkulationsrente]])^-1)*((1+PrisudviklingGenerelt)^1)-Tidstabel[[#This Row],[EI_Afskrivning]])),BlankTegn)</f>
        <v>.</v>
      </c>
      <c r="BR28" s="245" t="str">
        <f>IFERROR(IF(Tidstabel[[#This Row],[År]]&gt;Input_Tidshorisont,BlankTegn,
IF(Tidstabel[[#This Row],[År]]=0,0,Tidstabel[[#This Row],[EI_Uds?]]*EI_Enhedspris*((1+Tidstabel[[#This Row],[Kalkulationsrente]])^-Tidstabel[[#This Row],[År]])*((1+PrisudviklingGenerelt)^Tidstabel[[#This Row],[År]]))),BlankTegn)</f>
        <v>.</v>
      </c>
      <c r="BS28" s="262" t="str">
        <f>IFERROR(IF(Tidstabel[[#This Row],[År]]&gt;Input_Tidshorisont,BlankTegn,
IF(Tidstabel[[#This Row],[År]]=0,0,Tidstabel[[#This Row],[EI_Uds?]]*-EI_Enhedspris*EI_Genoprettelse*((1+Tidstabel[[#This Row],[Kalkulationsrente]])^-Tidstabel[[#This Row],[År]])*((1+PrisudviklingGenerelt)^Tidstabel[[#This Row],[År]]))),BlankTegn)</f>
        <v>.</v>
      </c>
      <c r="BT28" s="245">
        <f>IFERROR(IF(Tidstabel[[#This Row],[År]]&gt;Input_Tidshorisont,BlankTegn,
IF(Tidstabel[[#This Row],[År]]=0,-AP_Enhedspris,0)),BlankTegn)</f>
        <v>0</v>
      </c>
      <c r="BU28" s="245" t="str">
        <f>IFERROR(IF(Tidstabel[[#This Row],[År]]&gt;Input_Tidshorisont,BlankTegn,
IF(Tidstabel[[#This Row],[År]]=0,AP_Enhedspris/AP_Levetid,BU27*((1+Tidstabel[[#This Row],[Kalkulationsrente]])^-1)*((1+PrisudviklingGenerelt)^1))),BlankTegn)</f>
        <v>.</v>
      </c>
      <c r="BV28" s="178" t="str">
        <f ca="1">IFERROR(IF(Tidstabel[[#This Row],[År]]&gt;Input_Tidshorisont,BlankTegn,
IF(AP_Vedligehold_i=1,IF(Tidstabel[[#This Row],[AP_Uds?]]=0,1,0),IF(MAX(BV27:OFFSET(BW27,2-AP_Vedligehold_i,0),Tidstabel[[#This Row],[AP_Uds?]])=0,1,0))),BlankTegn)</f>
        <v>.</v>
      </c>
      <c r="BW28" s="178" t="str">
        <f>IFERROR(IF(Tidstabel[[#This Row],[År]]&gt;Input_Tidshorisont,BlankTegn,
IF(Tidstabel[[#This Row],[År]]=0,1,IF(MOD(Tidstabel[[#This Row],[År]],AP_Levetid)=0,1,IF(Tidstabel[[#This Row],[År]]=Input_Tidshorisont,0,0)))),BlankTegn)</f>
        <v>.</v>
      </c>
      <c r="BX28" s="245" t="str">
        <f ca="1">IFERROR(IF(Tidstabel[[#This Row],[År]]&gt;Input_Tidshorisont,BlankTegn,
AP_Vedligehold_p*-AP_Enhedspris*Tidstabel[[#This Row],[AP_Ved?]]*((1+Tidstabel[[#This Row],[Kalkulationsrente]])^-Tidstabel[[#This Row],[År]])*((1+PrisudviklingGenerelt)^Tidstabel[[#This Row],[År]])),BlankTegn)</f>
        <v>.</v>
      </c>
      <c r="BY28" s="245" t="str">
        <f>IFERROR(IF(Tidstabel[[#This Row],[År]]&gt;Input_Tidshorisont,BlankTegn,
IF(Tidstabel[[#This Row],[År]]=0,AP_Enhedspris,SUM(BY27:BZ27)*((1+Tidstabel[[#This Row],[Kalkulationsrente]])^-1)*((1+PrisudviklingGenerelt)^1)-Tidstabel[[#This Row],[AP_Afskrivning]])),BlankTegn)</f>
        <v>.</v>
      </c>
      <c r="BZ28" s="245" t="str">
        <f>IFERROR(IF(Tidstabel[[#This Row],[År]]&gt;Input_Tidshorisont,BlankTegn,
IF(Tidstabel[[#This Row],[År]]=0,0,Tidstabel[[#This Row],[AP_Uds?]]*AP_Enhedspris*((1+Tidstabel[[#This Row],[Kalkulationsrente]])^-Tidstabel[[#This Row],[År]])*((1+PrisudviklingGenerelt)^Tidstabel[[#This Row],[År]]))),BlankTegn)</f>
        <v>.</v>
      </c>
      <c r="CA28" s="262" t="str">
        <f>IFERROR(IF(Tidstabel[[#This Row],[År]]&gt;Input_Tidshorisont,BlankTegn,
IF(Tidstabel[[#This Row],[År]]=0,0,Tidstabel[[#This Row],[AP_Uds?]]*-AP_Enhedspris*AP_Genoprettelse*((1+Tidstabel[[#This Row],[Kalkulationsrente]])^-Tidstabel[[#This Row],[År]])*((1+PrisudviklingGenerelt)^Tidstabel[[#This Row],[År]]))),BlankTegn)</f>
        <v>.</v>
      </c>
      <c r="CB28" s="245">
        <f>IFERROR(IF(Tidstabel[[#This Row],[År]]&gt;Input_Tidshorisont,BlankTegn,
IF(Tidstabel[[#This Row],[År]]=0,-SK_Enhedspris,0)),BlankTegn)</f>
        <v>0</v>
      </c>
      <c r="CC28" s="245" t="str">
        <f>IFERROR(IF(Tidstabel[[#This Row],[År]]&gt;Input_Tidshorisont,BlankTegn,
IF(Tidstabel[[#This Row],[År]]=0,SK_Enhedspris/SK_Levetid,CC27*((1+Tidstabel[[#This Row],[Kalkulationsrente]])^-1)*((1+PrisudviklingGenerelt)^1))),BlankTegn)</f>
        <v>.</v>
      </c>
      <c r="CD28" s="178" t="str">
        <f ca="1">IFERROR(IF(Tidstabel[[#This Row],[År]]&gt;Input_Tidshorisont,BlankTegn,
IF(SK_Vedligehold_i=1,IF(Tidstabel[[#This Row],[SK_Uds?]]=0,1,0),IF(MAX(CD27:OFFSET(CE27,2-SK_Vedligehold_i,0),Tidstabel[[#This Row],[SK_Uds?]])=0,1,0))),BlankTegn)</f>
        <v>.</v>
      </c>
      <c r="CE28" s="178" t="str">
        <f>IFERROR(IF(Tidstabel[[#This Row],[År]]&gt;Input_Tidshorisont,BlankTegn,
IF(Tidstabel[[#This Row],[År]]=0,1,IF(MOD(Tidstabel[[#This Row],[År]],SK_Levetid)=0,1,IF(Tidstabel[[#This Row],[År]]=Input_Tidshorisont,0,0)))),BlankTegn)</f>
        <v>.</v>
      </c>
      <c r="CF28" s="245" t="str">
        <f ca="1">IFERROR(IF(Tidstabel[[#This Row],[År]]&gt;Input_Tidshorisont,BlankTegn,
SK_Vedligehold_p*-SK_Enhedspris*Tidstabel[[#This Row],[SK_Ved?]]*((1+Tidstabel[[#This Row],[Kalkulationsrente]])^-Tidstabel[[#This Row],[År]])*((1+PrisudviklingGenerelt)^Tidstabel[[#This Row],[År]])),BlankTegn)</f>
        <v>.</v>
      </c>
      <c r="CG28" s="245" t="str">
        <f>IFERROR(IF(Tidstabel[[#This Row],[År]]&gt;Input_Tidshorisont,BlankTegn,
IF(Tidstabel[[#This Row],[År]]=0,SK_Enhedspris,SUM(CG27:CH27)*((1+Tidstabel[[#This Row],[Kalkulationsrente]])^-1)*((1+PrisudviklingGenerelt)^1)-Tidstabel[[#This Row],[SK_Afskrivning]])),BlankTegn)</f>
        <v>.</v>
      </c>
      <c r="CH28" s="245" t="str">
        <f>IFERROR(IF(Tidstabel[[#This Row],[År]]&gt;Input_Tidshorisont,BlankTegn,
IF(Tidstabel[[#This Row],[År]]=0,0,Tidstabel[[#This Row],[SK_Uds?]]*SK_Enhedspris*((1+Tidstabel[[#This Row],[Kalkulationsrente]])^-Tidstabel[[#This Row],[År]])*((1+PrisudviklingGenerelt)^Tidstabel[[#This Row],[År]]))),BlankTegn)</f>
        <v>.</v>
      </c>
      <c r="CI28" s="262" t="str">
        <f>IFERROR(IF(Tidstabel[[#This Row],[År]]&gt;Input_Tidshorisont,BlankTegn,
IF(Tidstabel[[#This Row],[År]]=0,0,Tidstabel[[#This Row],[SK_Uds?]]*-SK_Enhedspris*SK_Genoprettelse*((1+Tidstabel[[#This Row],[Kalkulationsrente]])^-Tidstabel[[#This Row],[År]])*((1+PrisudviklingGenerelt)^Tidstabel[[#This Row],[År]]))),BlankTegn)</f>
        <v>.</v>
      </c>
      <c r="CJ28" s="19"/>
    </row>
    <row r="29" spans="1:88">
      <c r="A29" s="250">
        <v>22</v>
      </c>
      <c r="B29" s="250">
        <f>Input_Etableringsår+Tidstabel[[#This Row],[År]]</f>
        <v>2046</v>
      </c>
      <c r="C29" s="274" cm="1">
        <f t="array" ref="C29">_xlfn.IFS(Tidstabel[[#This Row],[År]]&gt;KR_Trin3_Tærskel,KR_Trin3_Rente,Tidstabel[[#This Row],[År]]&gt;KR_Trin2_Tærskel,KR_Trin2_Rente,Tidstabel[[#This Row],[År]]&gt;KR_Trin1_Tærskel,KR_Trin1_Rente,Tidstabel[[#This Row],[År]]&gt;KR_Trin0_Tærskel,KR_Trin0_Rente)</f>
        <v>3.5000000000000003E-2</v>
      </c>
      <c r="D29" s="142" t="str" cm="1">
        <f t="array" ref="D29">IFERROR(
INDEX(Range_Materiale_ÅrligeEmissioner,MATCH(1,(Materialedata[Komponent]=FB_Titel)*(Materialedata[Materiale]=FB_Materiale),0),MATCH(Tidstabel[[#This Row],[År]],Range_Materiale_År,0)),BlankTegn)</f>
        <v>.</v>
      </c>
      <c r="E29" s="142" t="str" cm="1">
        <f t="array" ref="E29">IFERROR(
INDEX(Range_Materiale_ÅrligeEmissioner,MATCH(1,(Materialedata[Komponent]=SK_Titel)*(Materialedata[Materiale]=SK_Materiale),0),MATCH(Tidstabel[[#This Row],[År]],Range_Materiale_År,0)),BlankTegn)</f>
        <v>.</v>
      </c>
      <c r="F29" s="142" t="str" cm="1">
        <f t="array" ref="F29">IFERROR(
INDEX(Range_Materiale_ÅrligeEmissioner,MATCH(1,(Materialedata[Komponent]=EI_Titel)*(Materialedata[Materiale]=EI_Materiale),0),MATCH(Tidstabel[[#This Row],[År]],Range_Materiale_År,0)),BlankTegn)</f>
        <v>.</v>
      </c>
      <c r="G29" s="142" t="str" cm="1">
        <f t="array" ref="G29">IFERROR(
INDEX(Range_Materiale_ÅrligeEmissioner,MATCH(1,(Materialedata[Komponent]=AP_Titel)*(Materialedata[Materiale]=AP_Materiale),0),MATCH(Tidstabel[[#This Row],[År]],Range_Materiale_År,0)),BlankTegn)</f>
        <v>.</v>
      </c>
      <c r="H29" s="142" t="str" cm="1">
        <f t="array" ref="H29">IFERROR(
INDEX(Range_Materiale_ÅrligeEmissioner,MATCH(1,(Materialedata[Komponent]=VS_Titel)*(Materialedata[Materiale]=VS_Materiale),0),MATCH(Tidstabel[[#This Row],[År]],Range_Materiale_År,0)),BlankTegn)</f>
        <v>.</v>
      </c>
      <c r="I29" s="142" t="str">
        <f>IFERROR(
IF(SUM(Tidstabel[[#This Row],[Facadebeklædning]:[Vindspærre]])=0,BlankTegn,
SUM(Tidstabel[[#This Row],[Facadebeklædning]:[Vindspærre]])),BlankTegn)</f>
        <v>.</v>
      </c>
      <c r="J29" s="139">
        <f>IF(Tidstabel[[#This Row],[År]]&gt;Input_Tidshorisont,BlankTegn,
A5_ElVarmeBrændstofByggeplads)</f>
        <v>0.25</v>
      </c>
      <c r="K29" s="142" t="str">
        <f>IFERROR(IF(Tidstabel[[#This Row],[År]]&gt;Input_Tidshorisont,BlankTegn,
-1*INDEX(Range_Energi_ÅrligBesparelse,MATCH(Input_EksisterendeFacade,Energiberegning[Ydervæg],0),MATCH(Tidstabel[[#This Row],[Årstal]],Range_Energi_Årstal,0))),BlankTegn)</f>
        <v>.</v>
      </c>
      <c r="L29" s="142">
        <f>IF(Tidstabel[[#This Row],[År]]&gt;Input_Tidshorisont,BlankTegn,
(Tidstabel[[#This Row],[År]]+1)*(SUM(Vedligeholdelsesmaterialer[Facadefarve],Vedligeholdelsesmaterialer[Grunder og mellemmaling])/12+SUM(Vedligeholdelsesmaterialer[Puds])/30))</f>
        <v>7.4716485741666663</v>
      </c>
      <c r="M29" s="142" t="str">
        <f>IFERROR(IF(Tidstabel[[#This Row],[År]]&gt;Input_Tidshorisont,BlankTegn,
Tidstabel[[#This Row],[Materialer_Total]]+Tidstabel[[#This Row],[Byggeprocess]]),BlankTegn)</f>
        <v>.</v>
      </c>
      <c r="N29" s="142" t="str">
        <f>IFERROR(IF(Tidstabel[[#This Row],[År]]&gt;Input_Tidshorisont,BlankTegn,
Tidstabel[[#This Row],[Energibesparelse]]+Tidstabel[[#This Row],[Emission_Brutto]]),BlankTegn)</f>
        <v>.</v>
      </c>
      <c r="O29" s="142" t="str">
        <f>IFERROR(IF(Tidstabel[[#This Row],[År]]&gt;Input_Tidshorisont,BlankTegn,
Tidstabel[[#This Row],[Emission_Netto]]-Tidstabel[[#This Row],[Vedligehold_EksisterendeFacade]]),BlankTegn)</f>
        <v>.</v>
      </c>
      <c r="P29" s="271" t="str">
        <f>IFERROR(IF(Tidstabel[[#This Row],[År]]&gt;Input_Tidshorisont,BlankTegn,
IF(AND(Tidstabel[[#This Row],[Emission_Netto]]-Tidstabel[[#This Row],[Vedligehold_EksisterendeFacade]]&gt;0,N30-L30&lt;0),-1,IF(AND(Tidstabel[[#This Row],[Emission_Netto]]-Tidstabel[[#This Row],[Vedligehold_EksisterendeFacade]]&lt;0,N30-L30&gt;0),1,0))),BlankTegn)</f>
        <v>.</v>
      </c>
      <c r="Q29" s="174" t="str">
        <f>IF(Tidstabel[[#This Row],[År]]&gt;Input_Tidshorisont,BlankTegn,
IF(Tidstabel[[#This Row],[LCA-Skæring]]=-1,SUM(Tidstabel[[#This Row],[År]]*(1-ABS(Tidstabel[[#This Row],[LCA-Difference]])/(ABS(Tidstabel[[#This Row],[LCA-Difference]])+ABS(O30))),A30*(1-ABS(O30)/(ABS(Tidstabel[[#This Row],[LCA-Difference]])+ABS(O30)))),"-"))</f>
        <v>-</v>
      </c>
      <c r="R29" s="174" t="str">
        <f>IF(Tidstabel[[#This Row],[År]]&gt;Input_Tidshorisont,BlankTegn,
IF(Tidstabel[[#This Row],[LCA-Skæring]]=-1,SUM(Tidstabel[[#This Row],[Emission_Netto]]*(1-ABS(Tidstabel[[#This Row],[LCA-Difference]])/(ABS(Tidstabel[[#This Row],[LCA-Difference]])+ABS(O30))),N30*(1-ABS(O30)/(ABS(Tidstabel[[#This Row],[LCA-Difference]])+ABS(O30)))),"-"))</f>
        <v>-</v>
      </c>
      <c r="S29" s="174" t="str">
        <f>IF(Tidstabel[[#This Row],[År]]&gt;Input_Tidshorisont,BlankTegn,
IF(Tidstabel[[#This Row],[LCA-Skæring]]=1,SUM(Tidstabel[[#This Row],[År]]*(1-ABS(Tidstabel[[#This Row],[LCA-Difference]])/(ABS(Tidstabel[[#This Row],[LCA-Difference]])+ABS(O30))),A30*(1-ABS(O30)/(ABS(Tidstabel[[#This Row],[LCA-Difference]])+ABS(O30)))),"-"))</f>
        <v>-</v>
      </c>
      <c r="T29" s="264" t="str">
        <f>IF(Tidstabel[[#This Row],[År]]&gt;Input_Tidshorisont,BlankTegn,
IF(Tidstabel[[#This Row],[LCA-Skæring]]=1,SUM(Tidstabel[[#This Row],[Emission_Netto]]*(1-ABS(Tidstabel[[#This Row],[LCA-Difference]])/(ABS(Tidstabel[[#This Row],[LCA-Difference]])+ABS(O30))),N30*(1-ABS(O30)/(ABS(Tidstabel[[#This Row],[LCA-Difference]])+ABS(O30)))),"-"))</f>
        <v>-</v>
      </c>
      <c r="U29" s="142" t="str">
        <f ca="1">IFERROR(IF(Tidstabel[[#This Row],[År]]&gt;Input_Tidshorisont,BlankTegn,
Tidstabel[[#This Row],[NPV_Klimafacade]]-Tidstabel[[#This Row],[NPV_Eksisterende]]),BlankTegn)</f>
        <v>.</v>
      </c>
      <c r="V29" s="271" t="str">
        <f ca="1">IFERROR(IF(Tidstabel[[#This Row],[År]]&gt;Input_Tidshorisont,BlankTegn,
IF(AND(Tidstabel[[#This Row],[NPV_Klimafacade]]-Tidstabel[[#This Row],[NPV_Eksisterende]]&gt;0,AB30-AA30&lt;0),1,IF(AND(Tidstabel[[#This Row],[NPV_Klimafacade]]-Tidstabel[[#This Row],[NPV_Eksisterende]]&lt;0,AB30-AA30&gt;0),-1,0))),BlankTegn)</f>
        <v>.</v>
      </c>
      <c r="W29" s="174" t="str">
        <f ca="1">IF(Tidstabel[[#This Row],[År]]&gt;Input_Tidshorisont,BlankTegn,
IF(Tidstabel[[#This Row],[LCC-Skæring]]=-1,SUM(Tidstabel[[#This Row],[År]]*(1-ABS(Tidstabel[[#This Row],[LCC-Difference]])/(ABS(Tidstabel[[#This Row],[LCC-Difference]])+ABS(U30))),A30*(1-ABS(U30)/(ABS(Tidstabel[[#This Row],[LCC-Difference]])+ABS(U30)))),"-"))</f>
        <v>-</v>
      </c>
      <c r="X29" s="174" t="str">
        <f ca="1">IF(Tidstabel[[#This Row],[År]]&gt;Input_Tidshorisont,BlankTegn,
IF(Tidstabel[[#This Row],[LCC-Skæring]]=-1,SUM(Tidstabel[[#This Row],[NPV_Klimafacade]]*(1-ABS(Tidstabel[[#This Row],[LCC-Difference]])/(ABS(Tidstabel[[#This Row],[LCC-Difference]])+ABS(U30))),AB30*(1-ABS(U30)/(ABS(Tidstabel[[#This Row],[LCC-Difference]])+ABS(U30)))),"-"))</f>
        <v>-</v>
      </c>
      <c r="Y29" s="174" t="str">
        <f ca="1">IF(Tidstabel[[#This Row],[År]]&gt;Input_Tidshorisont,BlankTegn,
IF(Tidstabel[[#This Row],[LCC-Skæring]]=1,SUM(Tidstabel[[#This Row],[År]]*(1-ABS(Tidstabel[[#This Row],[LCC-Difference]])/(ABS(Tidstabel[[#This Row],[LCC-Difference]])+ABS(U30))),A30*(1-ABS(U30)/(ABS(Tidstabel[[#This Row],[LCC-Difference]])+ABS(U30)))),"-"))</f>
        <v>-</v>
      </c>
      <c r="Z29" s="264" t="str">
        <f ca="1">IF(Tidstabel[[#This Row],[År]]&gt;Input_Tidshorisont,BlankTegn,
IF(Tidstabel[[#This Row],[LCC-Skæring]]=1,SUM(Tidstabel[[#This Row],[NPV_Klimafacade]]*(1-ABS(Tidstabel[[#This Row],[LCC-Difference]])/(ABS(Tidstabel[[#This Row],[LCC-Difference]])+ABS(U30))),AB30*(1-ABS(U30)/(ABS(Tidstabel[[#This Row],[LCC-Difference]])+ABS(U30)))),"-"))</f>
        <v>-</v>
      </c>
      <c r="AA29" s="142">
        <f ca="1">IF(Tidstabel[[#This Row],[År]]&gt;Input_Tidshorisont,BlankTegn,
Tidstabel[[#This Row],[EF_Vedligehold_Aggregeret]])</f>
        <v>-172.1521284137151</v>
      </c>
      <c r="AB29"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29" s="142" t="str">
        <f>IFERROR(IF(Tidstabel[[#This Row],[År]]&gt;Input_Tidshorisont,BlankTegn,
Tidstabel[[#This Row],[KF_Anskaffelse_Aggregeret]]+Tidstabel[[#This Row],[KF_Engangsudgifter_Aggregeret]]),BlankTegn)</f>
        <v>.</v>
      </c>
      <c r="AD29" s="174">
        <f ca="1">IFERROR(IF(Tidstabel[[#This Row],[År]]&gt;Input_Tidshorisont,BlankTegn,
IF(Tidstabel[[#This Row],[År]]=0,0,Tidstabel[[#This Row],[NPV_Eksisterende]]*(Tidstabel[[#This Row],[Kalkulationsrente]]/(1-(1+Tidstabel[[#This Row],[Kalkulationsrente]])^-Tidstabel[[#This Row],[År]])))),BlankTegn)</f>
        <v>-11.350346903607857</v>
      </c>
      <c r="AE29" s="264" t="str">
        <f ca="1">IFERROR(IF(Tidstabel[[#This Row],[År]]&gt;Input_Tidshorisont,BlankTegn,
IF(Tidstabel[[#This Row],[År]]=0,0,Tidstabel[[#This Row],[NPV_Klimafacade]]*(Tidstabel[[#This Row],[Kalkulationsrente]]/(1-(1+Tidstabel[[#This Row],[Kalkulationsrente]])^-Tidstabel[[#This Row],[År]])))),BlankTegn)</f>
        <v>.</v>
      </c>
      <c r="AF29" s="270">
        <f ca="1">IF(Tidstabel[[#This Row],[År]]&gt;Input_Tidshorisont,BlankTegn,
IF(EF_Vedligehold_i=1,IF(Tidstabel[[#This Row],[EF_Uds?]]=0,1,0),IF(MAX(AF28:OFFSET(AG28,2-EF_Vedligehold_i,0),Tidstabel[[#This Row],[EF_Uds?]])=0,1,0)))</f>
        <v>1</v>
      </c>
      <c r="AG29" s="181">
        <f>IF(Tidstabel[[#This Row],[År]]&gt;Input_Tidshorisont,BlankTegn,0)</f>
        <v>0</v>
      </c>
      <c r="AH29" s="263">
        <f ca="1">IF(Tidstabel[[#This Row],[År]]&gt;Input_Tidshorisont,BlankTegn,
Tidstabel[[#This Row],[EF_Ved?]]*EF_Vedligehold_p*-EF_Enhedspris*((1+Tidstabel[[#This Row],[Kalkulationsrente]])^-Tidstabel[[#This Row],[År]])*((1+PrisudviklingGenerelt)^Tidstabel[[#This Row],[År]]))</f>
        <v>-4.9956489142549634</v>
      </c>
      <c r="AI29" s="262">
        <f ca="1">IF(Tidstabel[[#This Row],[År]]&gt;Input_Tidshorisont,BlankTegn,
IF(Tidstabel[[#This Row],[År]]=0,Tidstabel[[#This Row],[EF_Vedligehold]],AI28+Tidstabel[[#This Row],[EF_Vedligehold]]))</f>
        <v>-172.1521284137151</v>
      </c>
      <c r="AJ29" s="245">
        <f>IFERROR(IF(Tidstabel[[#This Row],[År]]&gt;Input_Tidshorisont,BlankTegn,
Tidstabel[[#This Row],[FB_Anskaffelse]]+Tidstabel[[#This Row],[VS_Anskaffelse]]+Tidstabel[[#This Row],[EI_Anskaffelse]]+Tidstabel[[#This Row],[AP_Anskaffelse]]+Tidstabel[[#This Row],[SK_Anskaffelse]]),BlankTegn)</f>
        <v>0</v>
      </c>
      <c r="AK29" s="245" t="str">
        <f>IFERROR(IF(Tidstabel[[#This Row],[År]]&gt;Input_Tidshorisont,BlankTegn,
IF(Tidstabel[[#This Row],[År]]=0,Tidstabel[[#This Row],[KF_Anskaffelse]],AK28+Tidstabel[[#This Row],[KF_Anskaffelse]])),BlankTegn)</f>
        <v>.</v>
      </c>
      <c r="AL29" s="246" t="str">
        <f ca="1">IFERROR(IF(Tidstabel[[#This Row],[År]]&gt;Input_Tidshorisont,BlankTegn,
Tidstabel[[#This Row],[FB_Vedligehold]]+Tidstabel[[#This Row],[VS_Vedligehold]]+Tidstabel[[#This Row],[EI_Vedligehold]]+Tidstabel[[#This Row],[AP_Vedligehold]]+Tidstabel[[#This Row],[SK_Vedligehold]]),BlankTegn)</f>
        <v>.</v>
      </c>
      <c r="AM29" s="245" t="str">
        <f ca="1">IFERROR(IF(Tidstabel[[#This Row],[År]]&gt;Input_Tidshorisont,BlankTegn,
IF(Tidstabel[[#This Row],[År]]=0,Tidstabel[[#This Row],[KF_Vedligehold]],AM28+Tidstabel[[#This Row],[KF_Vedligehold]])),BlankTegn)</f>
        <v>.</v>
      </c>
      <c r="AN29"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29"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29" s="245" t="str">
        <f>IFERROR(IF(Tidstabel[[#This Row],[År]]&gt;Input_Tidshorisont,BlankTegn,
IF(Tidstabel[[#This Row],[År]]=0,Tidstabel[[#This Row],[KF_Udskiftning_Komponent]],AP28+Tidstabel[[#This Row],[KF_Udskiftning_Komponent]])),BlankTegn)</f>
        <v>.</v>
      </c>
      <c r="AQ29" s="245">
        <f>IF(Tidstabel[[#This Row],[År]]&gt;Input_Tidshorisont,BlankTegn,
IF(Tidstabel[[#This Row],[År]]=0,-SUM(Engangsudgifter[Udgift]),0))</f>
        <v>0</v>
      </c>
      <c r="AR29" s="245">
        <f>IFERROR(IF(Tidstabel[[#This Row],[År]]&gt;Input_Tidshorisont,BlankTegn,
IF(Tidstabel[[#This Row],[År]]=0,Tidstabel[[#This Row],[KF_Engangsudgifter]],AR28+Tidstabel[[#This Row],[KF_Engangsudgifter]])),BlankTegn)</f>
        <v>0</v>
      </c>
      <c r="AS29" s="315" t="str">
        <f>IFERROR(IF(Tidstabel[[#This Row],[År]]&gt;Input_Tidshorisont,BlankTegn,
-Energibesparelse_Årlig),BlankTegn)</f>
        <v>.</v>
      </c>
      <c r="AT29" s="245" t="str">
        <f>IFERROR(IF(Tidstabel[[#This Row],[År]]&gt;Input_Tidshorisont,BlankTegn,
IF(Tidstabel[[#This Row],[År]]=0,0,-Tidstabel[[#This Row],[KF_Energiforbrug]]*Input_Fjernvarmepris*((1+Tidstabel[[#This Row],[Kalkulationsrente]])^-Tidstabel[[#This Row],[År]])*((1+PrisudviklingFjernvarme)^Tidstabel[[#This Row],[År]]))),BlankTegn)</f>
        <v>.</v>
      </c>
      <c r="AU29" s="262" t="str">
        <f>IFERROR(IF(Tidstabel[[#This Row],[År]]&gt;Input_Tidshorisont,BlankTegn,
IF(Tidstabel[[#This Row],[År]]=0,Tidstabel[[#This Row],[KF_Forsyning]],AU28+Tidstabel[[#This Row],[KF_Forsyning]])),BlankTegn)</f>
        <v>.</v>
      </c>
      <c r="AV29" s="245">
        <f>IFERROR(IF(Tidstabel[[#This Row],[År]]&gt;Input_Tidshorisont,BlankTegn,
IF(Tidstabel[[#This Row],[År]]=0,-FB_Enhedspris,0)),BlankTegn)</f>
        <v>0</v>
      </c>
      <c r="AW29" s="245" t="str">
        <f>IFERROR(IF(Tidstabel[[#This Row],[År]]&gt;Input_Tidshorisont,BlankTegn,
IF(Tidstabel[[#This Row],[År]]=0,FB_Enhedspris/FB_Levetid,AW28*((1+Tidstabel[[#This Row],[Kalkulationsrente]])^-1)*((1+PrisudviklingGenerelt)^1))),BlankTegn)</f>
        <v>.</v>
      </c>
      <c r="AX29" s="178" t="str">
        <f ca="1">IFERROR(IF(Tidstabel[[#This Row],[År]]&gt;Input_Tidshorisont,BlankTegn,
IF(FB_Vedligehold_i=1,IF(Tidstabel[[#This Row],[FB_Uds?]]=0,1,0),IF(MAX(AX28:OFFSET(AY28,2-FB_Vedligehold_i,0),Tidstabel[[#This Row],[FB_Uds?]])=0,1,0))),BlankTegn)</f>
        <v>.</v>
      </c>
      <c r="AY29" s="178" t="str">
        <f>IFERROR(IF(Tidstabel[[#This Row],[År]]&gt;Input_Tidshorisont,BlankTegn,
IF(Tidstabel[[#This Row],[År]]=0,1,IF(MOD(Tidstabel[[#This Row],[År]],FB_Levetid)=0,1,IF(Tidstabel[[#This Row],[År]]=Input_Tidshorisont,0,0)))),BlankTegn)</f>
        <v>.</v>
      </c>
      <c r="AZ29" s="245" t="str">
        <f ca="1">IFERROR(IF(Tidstabel[[#This Row],[År]]&gt;Input_Tidshorisont,BlankTegn,
FB_Vedligehold_p*-FB_Enhedspris*Tidstabel[[#This Row],[FB_Ved?]]*((1+Tidstabel[[#This Row],[Kalkulationsrente]])^-Tidstabel[[#This Row],[År]])*((1+PrisudviklingGenerelt)^Tidstabel[[#This Row],[År]])),BlankTegn)</f>
        <v>.</v>
      </c>
      <c r="BA29" s="245" t="str">
        <f>IFERROR(IF(Tidstabel[[#This Row],[År]]&gt;Input_Tidshorisont,BlankTegn,
IF(Tidstabel[[#This Row],[År]]=0,FB_Enhedspris,SUM(BA28:BB28)*((1+Tidstabel[[#This Row],[Kalkulationsrente]])^-1)*((1+PrisudviklingGenerelt)^1)-Tidstabel[[#This Row],[FB_Afskrivning]])),BlankTegn)</f>
        <v>.</v>
      </c>
      <c r="BB29" s="245" t="str">
        <f>IFERROR(IF(Tidstabel[[#This Row],[År]]&gt;Input_Tidshorisont,BlankTegn,
IF(Tidstabel[[#This Row],[År]]=0,0,Tidstabel[[#This Row],[FB_Uds?]]*FB_Enhedspris*((1+Tidstabel[[#This Row],[Kalkulationsrente]])^-Tidstabel[[#This Row],[År]])*((1+PrisudviklingGenerelt)^Tidstabel[[#This Row],[År]]))),BlankTegn)</f>
        <v>.</v>
      </c>
      <c r="BC29" s="262" t="str">
        <f>IFERROR(IF(Tidstabel[[#This Row],[År]]&gt;Input_Tidshorisont,BlankTegn,
IF(Tidstabel[[#This Row],[År]]=0,0,Tidstabel[[#This Row],[FB_Uds?]]*-FB_Enhedspris*FB_Genoprettelse*((1+Tidstabel[[#This Row],[Kalkulationsrente]])^-Tidstabel[[#This Row],[År]])*((1+PrisudviklingGenerelt)^Tidstabel[[#This Row],[År]]))),BlankTegn)</f>
        <v>.</v>
      </c>
      <c r="BD29" s="245">
        <f>IFERROR(IF(Tidstabel[[#This Row],[År]]&gt;Input_Tidshorisont,BlankTegn,
IF(Tidstabel[[#This Row],[År]]=0,-VS_Enhedspris,0)),BlankTegn)</f>
        <v>0</v>
      </c>
      <c r="BE29" s="245" t="str">
        <f>IFERROR(IF(Tidstabel[[#This Row],[År]]&gt;Input_Tidshorisont,BlankTegn,
IF(Tidstabel[[#This Row],[År]]=0,VS_Enhedspris/VS_Levetid,BE28*((1+Tidstabel[[#This Row],[Kalkulationsrente]])^-1)*((1+PrisudviklingGenerelt)^1))),BlankTegn)</f>
        <v>.</v>
      </c>
      <c r="BF29" s="178" t="str">
        <f ca="1">IFERROR(IF(Tidstabel[[#This Row],[År]]&gt;Input_Tidshorisont,BlankTegn,
IF(VS_Vedligehold_i=1,IF(Tidstabel[[#This Row],[VS_Uds?]]=0,1,0),IF(MAX(BF28:OFFSET(BG28,2-VS_Vedligehold_i,0),Tidstabel[[#This Row],[VS_Uds?]])=0,1,0))),BlankTegn)</f>
        <v>.</v>
      </c>
      <c r="BG29" s="178" t="str">
        <f>IFERROR(IF(Tidstabel[[#This Row],[År]]&gt;Input_Tidshorisont,BlankTegn,
IF(Tidstabel[[#This Row],[År]]=0,1,IF(MOD(Tidstabel[[#This Row],[År]],VS_Levetid)=0,1,IF(Tidstabel[[#This Row],[År]]=Input_Tidshorisont,0,0)))),BlankTegn)</f>
        <v>.</v>
      </c>
      <c r="BH29" s="245" t="str">
        <f ca="1">IFERROR(IF(Tidstabel[[#This Row],[År]]&gt;Input_Tidshorisont,BlankTegn,
VS_Vedligehold_p*-VS_Enhedspris*Tidstabel[[#This Row],[VS_Ved?]]*((1+Tidstabel[[#This Row],[Kalkulationsrente]])^-Tidstabel[[#This Row],[År]])*((1+PrisudviklingGenerelt)^Tidstabel[[#This Row],[År]])),BlankTegn)</f>
        <v>.</v>
      </c>
      <c r="BI29" s="245" t="str">
        <f>IFERROR(IF(Tidstabel[[#This Row],[År]]&gt;Input_Tidshorisont,BlankTegn,
IF(Tidstabel[[#This Row],[År]]=0,VS_Enhedspris,SUM(BI28:BJ28)*((1+Tidstabel[[#This Row],[Kalkulationsrente]])^-1)*((1+PrisudviklingGenerelt)^1)-Tidstabel[[#This Row],[VS_Afskrivning]])),BlankTegn)</f>
        <v>.</v>
      </c>
      <c r="BJ29" s="245" t="str">
        <f>IFERROR(IF(Tidstabel[[#This Row],[År]]&gt;Input_Tidshorisont,BlankTegn,
IF(Tidstabel[[#This Row],[År]]=0,0,Tidstabel[[#This Row],[VS_Uds?]]*VS_Enhedspris*((1+Tidstabel[[#This Row],[Kalkulationsrente]])^-Tidstabel[[#This Row],[År]])*((1+PrisudviklingGenerelt)^Tidstabel[[#This Row],[År]]))),BlankTegn)</f>
        <v>.</v>
      </c>
      <c r="BK29" s="262" t="str">
        <f>IFERROR(IF(Tidstabel[[#This Row],[År]]&gt;Input_Tidshorisont,BlankTegn,
IF(Tidstabel[[#This Row],[År]]=0,0,Tidstabel[[#This Row],[VS_Uds?]]*-VS_Enhedspris*VS_Genoprettelse*((1+Tidstabel[[#This Row],[Kalkulationsrente]])^-Tidstabel[[#This Row],[År]])*((1+PrisudviklingGenerelt)^Tidstabel[[#This Row],[År]]))),BlankTegn)</f>
        <v>.</v>
      </c>
      <c r="BL29" s="245">
        <f>IFERROR(IF(Tidstabel[[#This Row],[År]]&gt;Input_Tidshorisont,BlankTegn,
IF(Tidstabel[[#This Row],[År]]=0,-EI_Enhedspris,0)),BlankTegn)</f>
        <v>0</v>
      </c>
      <c r="BM29" s="245" t="str">
        <f>IFERROR(IF(Tidstabel[[#This Row],[År]]&gt;Input_Tidshorisont,BlankTegn,
IF(Tidstabel[[#This Row],[År]]=0,EI_Enhedspris/EI_Levetid,BM28*((1+Tidstabel[[#This Row],[Kalkulationsrente]])^-1)*((1+PrisudviklingGenerelt)^1))),BlankTegn)</f>
        <v>.</v>
      </c>
      <c r="BN29" s="178" t="str">
        <f ca="1">IFERROR(IF(Tidstabel[[#This Row],[År]]&gt;Input_Tidshorisont,BlankTegn,
IF(EI_Vedligehold_i=1,IF(Tidstabel[[#This Row],[EI_Uds?]]=0,1,0),IF(MAX(BN28:OFFSET(BO28,2-EI_Vedligehold_i,0),Tidstabel[[#This Row],[EI_Uds?]])=0,1,0))),BlankTegn)</f>
        <v>.</v>
      </c>
      <c r="BO29" s="178" t="str">
        <f>IFERROR(IF(Tidstabel[[#This Row],[År]]&gt;Input_Tidshorisont,BlankTegn,
IF(Tidstabel[[#This Row],[År]]=0,1,IF(MOD(Tidstabel[[#This Row],[År]],EI_Levetid)=0,1,IF(Tidstabel[[#This Row],[År]]=Input_Tidshorisont,0,0)))),BlankTegn)</f>
        <v>.</v>
      </c>
      <c r="BP29" s="245" t="str">
        <f ca="1">IFERROR(IF(Tidstabel[[#This Row],[År]]&gt;Input_Tidshorisont,BlankTegn,
EI_Vedligehold_p*-EI_Enhedspris*Tidstabel[[#This Row],[EI_Ved?]]*((1+Tidstabel[[#This Row],[Kalkulationsrente]])^-Tidstabel[[#This Row],[År]])*((1+PrisudviklingGenerelt)^Tidstabel[[#This Row],[År]])),BlankTegn)</f>
        <v>.</v>
      </c>
      <c r="BQ29" s="245" t="str">
        <f>IFERROR(IF(Tidstabel[[#This Row],[År]]&gt;Input_Tidshorisont,BlankTegn,
IF(Tidstabel[[#This Row],[År]]=0,EI_Enhedspris,SUM(BQ28:BR28)*((1+Tidstabel[[#This Row],[Kalkulationsrente]])^-1)*((1+PrisudviklingGenerelt)^1)-Tidstabel[[#This Row],[EI_Afskrivning]])),BlankTegn)</f>
        <v>.</v>
      </c>
      <c r="BR29" s="245" t="str">
        <f>IFERROR(IF(Tidstabel[[#This Row],[År]]&gt;Input_Tidshorisont,BlankTegn,
IF(Tidstabel[[#This Row],[År]]=0,0,Tidstabel[[#This Row],[EI_Uds?]]*EI_Enhedspris*((1+Tidstabel[[#This Row],[Kalkulationsrente]])^-Tidstabel[[#This Row],[År]])*((1+PrisudviklingGenerelt)^Tidstabel[[#This Row],[År]]))),BlankTegn)</f>
        <v>.</v>
      </c>
      <c r="BS29" s="262" t="str">
        <f>IFERROR(IF(Tidstabel[[#This Row],[År]]&gt;Input_Tidshorisont,BlankTegn,
IF(Tidstabel[[#This Row],[År]]=0,0,Tidstabel[[#This Row],[EI_Uds?]]*-EI_Enhedspris*EI_Genoprettelse*((1+Tidstabel[[#This Row],[Kalkulationsrente]])^-Tidstabel[[#This Row],[År]])*((1+PrisudviklingGenerelt)^Tidstabel[[#This Row],[År]]))),BlankTegn)</f>
        <v>.</v>
      </c>
      <c r="BT29" s="245">
        <f>IFERROR(IF(Tidstabel[[#This Row],[År]]&gt;Input_Tidshorisont,BlankTegn,
IF(Tidstabel[[#This Row],[År]]=0,-AP_Enhedspris,0)),BlankTegn)</f>
        <v>0</v>
      </c>
      <c r="BU29" s="245" t="str">
        <f>IFERROR(IF(Tidstabel[[#This Row],[År]]&gt;Input_Tidshorisont,BlankTegn,
IF(Tidstabel[[#This Row],[År]]=0,AP_Enhedspris/AP_Levetid,BU28*((1+Tidstabel[[#This Row],[Kalkulationsrente]])^-1)*((1+PrisudviklingGenerelt)^1))),BlankTegn)</f>
        <v>.</v>
      </c>
      <c r="BV29" s="178" t="str">
        <f ca="1">IFERROR(IF(Tidstabel[[#This Row],[År]]&gt;Input_Tidshorisont,BlankTegn,
IF(AP_Vedligehold_i=1,IF(Tidstabel[[#This Row],[AP_Uds?]]=0,1,0),IF(MAX(BV28:OFFSET(BW28,2-AP_Vedligehold_i,0),Tidstabel[[#This Row],[AP_Uds?]])=0,1,0))),BlankTegn)</f>
        <v>.</v>
      </c>
      <c r="BW29" s="178" t="str">
        <f>IFERROR(IF(Tidstabel[[#This Row],[År]]&gt;Input_Tidshorisont,BlankTegn,
IF(Tidstabel[[#This Row],[År]]=0,1,IF(MOD(Tidstabel[[#This Row],[År]],AP_Levetid)=0,1,IF(Tidstabel[[#This Row],[År]]=Input_Tidshorisont,0,0)))),BlankTegn)</f>
        <v>.</v>
      </c>
      <c r="BX29" s="245" t="str">
        <f ca="1">IFERROR(IF(Tidstabel[[#This Row],[År]]&gt;Input_Tidshorisont,BlankTegn,
AP_Vedligehold_p*-AP_Enhedspris*Tidstabel[[#This Row],[AP_Ved?]]*((1+Tidstabel[[#This Row],[Kalkulationsrente]])^-Tidstabel[[#This Row],[År]])*((1+PrisudviklingGenerelt)^Tidstabel[[#This Row],[År]])),BlankTegn)</f>
        <v>.</v>
      </c>
      <c r="BY29" s="245" t="str">
        <f>IFERROR(IF(Tidstabel[[#This Row],[År]]&gt;Input_Tidshorisont,BlankTegn,
IF(Tidstabel[[#This Row],[År]]=0,AP_Enhedspris,SUM(BY28:BZ28)*((1+Tidstabel[[#This Row],[Kalkulationsrente]])^-1)*((1+PrisudviklingGenerelt)^1)-Tidstabel[[#This Row],[AP_Afskrivning]])),BlankTegn)</f>
        <v>.</v>
      </c>
      <c r="BZ29" s="245" t="str">
        <f>IFERROR(IF(Tidstabel[[#This Row],[År]]&gt;Input_Tidshorisont,BlankTegn,
IF(Tidstabel[[#This Row],[År]]=0,0,Tidstabel[[#This Row],[AP_Uds?]]*AP_Enhedspris*((1+Tidstabel[[#This Row],[Kalkulationsrente]])^-Tidstabel[[#This Row],[År]])*((1+PrisudviklingGenerelt)^Tidstabel[[#This Row],[År]]))),BlankTegn)</f>
        <v>.</v>
      </c>
      <c r="CA29" s="262" t="str">
        <f>IFERROR(IF(Tidstabel[[#This Row],[År]]&gt;Input_Tidshorisont,BlankTegn,
IF(Tidstabel[[#This Row],[År]]=0,0,Tidstabel[[#This Row],[AP_Uds?]]*-AP_Enhedspris*AP_Genoprettelse*((1+Tidstabel[[#This Row],[Kalkulationsrente]])^-Tidstabel[[#This Row],[År]])*((1+PrisudviklingGenerelt)^Tidstabel[[#This Row],[År]]))),BlankTegn)</f>
        <v>.</v>
      </c>
      <c r="CB29" s="245">
        <f>IFERROR(IF(Tidstabel[[#This Row],[År]]&gt;Input_Tidshorisont,BlankTegn,
IF(Tidstabel[[#This Row],[År]]=0,-SK_Enhedspris,0)),BlankTegn)</f>
        <v>0</v>
      </c>
      <c r="CC29" s="245" t="str">
        <f>IFERROR(IF(Tidstabel[[#This Row],[År]]&gt;Input_Tidshorisont,BlankTegn,
IF(Tidstabel[[#This Row],[År]]=0,SK_Enhedspris/SK_Levetid,CC28*((1+Tidstabel[[#This Row],[Kalkulationsrente]])^-1)*((1+PrisudviklingGenerelt)^1))),BlankTegn)</f>
        <v>.</v>
      </c>
      <c r="CD29" s="178" t="str">
        <f ca="1">IFERROR(IF(Tidstabel[[#This Row],[År]]&gt;Input_Tidshorisont,BlankTegn,
IF(SK_Vedligehold_i=1,IF(Tidstabel[[#This Row],[SK_Uds?]]=0,1,0),IF(MAX(CD28:OFFSET(CE28,2-SK_Vedligehold_i,0),Tidstabel[[#This Row],[SK_Uds?]])=0,1,0))),BlankTegn)</f>
        <v>.</v>
      </c>
      <c r="CE29" s="178" t="str">
        <f>IFERROR(IF(Tidstabel[[#This Row],[År]]&gt;Input_Tidshorisont,BlankTegn,
IF(Tidstabel[[#This Row],[År]]=0,1,IF(MOD(Tidstabel[[#This Row],[År]],SK_Levetid)=0,1,IF(Tidstabel[[#This Row],[År]]=Input_Tidshorisont,0,0)))),BlankTegn)</f>
        <v>.</v>
      </c>
      <c r="CF29" s="245" t="str">
        <f ca="1">IFERROR(IF(Tidstabel[[#This Row],[År]]&gt;Input_Tidshorisont,BlankTegn,
SK_Vedligehold_p*-SK_Enhedspris*Tidstabel[[#This Row],[SK_Ved?]]*((1+Tidstabel[[#This Row],[Kalkulationsrente]])^-Tidstabel[[#This Row],[År]])*((1+PrisudviklingGenerelt)^Tidstabel[[#This Row],[År]])),BlankTegn)</f>
        <v>.</v>
      </c>
      <c r="CG29" s="245" t="str">
        <f>IFERROR(IF(Tidstabel[[#This Row],[År]]&gt;Input_Tidshorisont,BlankTegn,
IF(Tidstabel[[#This Row],[År]]=0,SK_Enhedspris,SUM(CG28:CH28)*((1+Tidstabel[[#This Row],[Kalkulationsrente]])^-1)*((1+PrisudviklingGenerelt)^1)-Tidstabel[[#This Row],[SK_Afskrivning]])),BlankTegn)</f>
        <v>.</v>
      </c>
      <c r="CH29" s="245" t="str">
        <f>IFERROR(IF(Tidstabel[[#This Row],[År]]&gt;Input_Tidshorisont,BlankTegn,
IF(Tidstabel[[#This Row],[År]]=0,0,Tidstabel[[#This Row],[SK_Uds?]]*SK_Enhedspris*((1+Tidstabel[[#This Row],[Kalkulationsrente]])^-Tidstabel[[#This Row],[År]])*((1+PrisudviklingGenerelt)^Tidstabel[[#This Row],[År]]))),BlankTegn)</f>
        <v>.</v>
      </c>
      <c r="CI29" s="262" t="str">
        <f>IFERROR(IF(Tidstabel[[#This Row],[År]]&gt;Input_Tidshorisont,BlankTegn,
IF(Tidstabel[[#This Row],[År]]=0,0,Tidstabel[[#This Row],[SK_Uds?]]*-SK_Enhedspris*SK_Genoprettelse*((1+Tidstabel[[#This Row],[Kalkulationsrente]])^-Tidstabel[[#This Row],[År]])*((1+PrisudviklingGenerelt)^Tidstabel[[#This Row],[År]]))),BlankTegn)</f>
        <v>.</v>
      </c>
      <c r="CJ29" s="19"/>
    </row>
    <row r="30" spans="1:88">
      <c r="A30" s="250">
        <v>23</v>
      </c>
      <c r="B30" s="250">
        <f>Input_Etableringsår+Tidstabel[[#This Row],[År]]</f>
        <v>2047</v>
      </c>
      <c r="C30" s="274" cm="1">
        <f t="array" ref="C30">_xlfn.IFS(Tidstabel[[#This Row],[År]]&gt;KR_Trin3_Tærskel,KR_Trin3_Rente,Tidstabel[[#This Row],[År]]&gt;KR_Trin2_Tærskel,KR_Trin2_Rente,Tidstabel[[#This Row],[År]]&gt;KR_Trin1_Tærskel,KR_Trin1_Rente,Tidstabel[[#This Row],[År]]&gt;KR_Trin0_Tærskel,KR_Trin0_Rente)</f>
        <v>3.5000000000000003E-2</v>
      </c>
      <c r="D30" s="142" t="str" cm="1">
        <f t="array" ref="D30">IFERROR(
INDEX(Range_Materiale_ÅrligeEmissioner,MATCH(1,(Materialedata[Komponent]=FB_Titel)*(Materialedata[Materiale]=FB_Materiale),0),MATCH(Tidstabel[[#This Row],[År]],Range_Materiale_År,0)),BlankTegn)</f>
        <v>.</v>
      </c>
      <c r="E30" s="142" t="str" cm="1">
        <f t="array" ref="E30">IFERROR(
INDEX(Range_Materiale_ÅrligeEmissioner,MATCH(1,(Materialedata[Komponent]=SK_Titel)*(Materialedata[Materiale]=SK_Materiale),0),MATCH(Tidstabel[[#This Row],[År]],Range_Materiale_År,0)),BlankTegn)</f>
        <v>.</v>
      </c>
      <c r="F30" s="142" t="str" cm="1">
        <f t="array" ref="F30">IFERROR(
INDEX(Range_Materiale_ÅrligeEmissioner,MATCH(1,(Materialedata[Komponent]=EI_Titel)*(Materialedata[Materiale]=EI_Materiale),0),MATCH(Tidstabel[[#This Row],[År]],Range_Materiale_År,0)),BlankTegn)</f>
        <v>.</v>
      </c>
      <c r="G30" s="142" t="str" cm="1">
        <f t="array" ref="G30">IFERROR(
INDEX(Range_Materiale_ÅrligeEmissioner,MATCH(1,(Materialedata[Komponent]=AP_Titel)*(Materialedata[Materiale]=AP_Materiale),0),MATCH(Tidstabel[[#This Row],[År]],Range_Materiale_År,0)),BlankTegn)</f>
        <v>.</v>
      </c>
      <c r="H30" s="142" t="str" cm="1">
        <f t="array" ref="H30">IFERROR(
INDEX(Range_Materiale_ÅrligeEmissioner,MATCH(1,(Materialedata[Komponent]=VS_Titel)*(Materialedata[Materiale]=VS_Materiale),0),MATCH(Tidstabel[[#This Row],[År]],Range_Materiale_År,0)),BlankTegn)</f>
        <v>.</v>
      </c>
      <c r="I30" s="142" t="str">
        <f>IFERROR(
IF(SUM(Tidstabel[[#This Row],[Facadebeklædning]:[Vindspærre]])=0,BlankTegn,
SUM(Tidstabel[[#This Row],[Facadebeklædning]:[Vindspærre]])),BlankTegn)</f>
        <v>.</v>
      </c>
      <c r="J30" s="139">
        <f>IF(Tidstabel[[#This Row],[År]]&gt;Input_Tidshorisont,BlankTegn,
A5_ElVarmeBrændstofByggeplads)</f>
        <v>0.25</v>
      </c>
      <c r="K30" s="142" t="str">
        <f>IFERROR(IF(Tidstabel[[#This Row],[År]]&gt;Input_Tidshorisont,BlankTegn,
-1*INDEX(Range_Energi_ÅrligBesparelse,MATCH(Input_EksisterendeFacade,Energiberegning[Ydervæg],0),MATCH(Tidstabel[[#This Row],[Årstal]],Range_Energi_Årstal,0))),BlankTegn)</f>
        <v>.</v>
      </c>
      <c r="L30" s="142">
        <f>IF(Tidstabel[[#This Row],[År]]&gt;Input_Tidshorisont,BlankTegn,
(Tidstabel[[#This Row],[År]]+1)*(SUM(Vedligeholdelsesmaterialer[Facadefarve],Vedligeholdelsesmaterialer[Grunder og mellemmaling])/12+SUM(Vedligeholdelsesmaterialer[Puds])/30))</f>
        <v>7.7965028599999995</v>
      </c>
      <c r="M30" s="142" t="str">
        <f>IFERROR(IF(Tidstabel[[#This Row],[År]]&gt;Input_Tidshorisont,BlankTegn,
Tidstabel[[#This Row],[Materialer_Total]]+Tidstabel[[#This Row],[Byggeprocess]]),BlankTegn)</f>
        <v>.</v>
      </c>
      <c r="N30" s="142" t="str">
        <f>IFERROR(IF(Tidstabel[[#This Row],[År]]&gt;Input_Tidshorisont,BlankTegn,
Tidstabel[[#This Row],[Energibesparelse]]+Tidstabel[[#This Row],[Emission_Brutto]]),BlankTegn)</f>
        <v>.</v>
      </c>
      <c r="O30" s="142" t="str">
        <f>IFERROR(IF(Tidstabel[[#This Row],[År]]&gt;Input_Tidshorisont,BlankTegn,
Tidstabel[[#This Row],[Emission_Netto]]-Tidstabel[[#This Row],[Vedligehold_EksisterendeFacade]]),BlankTegn)</f>
        <v>.</v>
      </c>
      <c r="P30" s="271" t="str">
        <f>IFERROR(IF(Tidstabel[[#This Row],[År]]&gt;Input_Tidshorisont,BlankTegn,
IF(AND(Tidstabel[[#This Row],[Emission_Netto]]-Tidstabel[[#This Row],[Vedligehold_EksisterendeFacade]]&gt;0,N31-L31&lt;0),-1,IF(AND(Tidstabel[[#This Row],[Emission_Netto]]-Tidstabel[[#This Row],[Vedligehold_EksisterendeFacade]]&lt;0,N31-L31&gt;0),1,0))),BlankTegn)</f>
        <v>.</v>
      </c>
      <c r="Q30" s="174" t="str">
        <f>IF(Tidstabel[[#This Row],[År]]&gt;Input_Tidshorisont,BlankTegn,
IF(Tidstabel[[#This Row],[LCA-Skæring]]=-1,SUM(Tidstabel[[#This Row],[År]]*(1-ABS(Tidstabel[[#This Row],[LCA-Difference]])/(ABS(Tidstabel[[#This Row],[LCA-Difference]])+ABS(O31))),A31*(1-ABS(O31)/(ABS(Tidstabel[[#This Row],[LCA-Difference]])+ABS(O31)))),"-"))</f>
        <v>-</v>
      </c>
      <c r="R30" s="174" t="str">
        <f>IF(Tidstabel[[#This Row],[År]]&gt;Input_Tidshorisont,BlankTegn,
IF(Tidstabel[[#This Row],[LCA-Skæring]]=-1,SUM(Tidstabel[[#This Row],[Emission_Netto]]*(1-ABS(Tidstabel[[#This Row],[LCA-Difference]])/(ABS(Tidstabel[[#This Row],[LCA-Difference]])+ABS(O31))),N31*(1-ABS(O31)/(ABS(Tidstabel[[#This Row],[LCA-Difference]])+ABS(O31)))),"-"))</f>
        <v>-</v>
      </c>
      <c r="S30" s="174" t="str">
        <f>IF(Tidstabel[[#This Row],[År]]&gt;Input_Tidshorisont,BlankTegn,
IF(Tidstabel[[#This Row],[LCA-Skæring]]=1,SUM(Tidstabel[[#This Row],[År]]*(1-ABS(Tidstabel[[#This Row],[LCA-Difference]])/(ABS(Tidstabel[[#This Row],[LCA-Difference]])+ABS(O31))),A31*(1-ABS(O31)/(ABS(Tidstabel[[#This Row],[LCA-Difference]])+ABS(O31)))),"-"))</f>
        <v>-</v>
      </c>
      <c r="T30" s="264" t="str">
        <f>IF(Tidstabel[[#This Row],[År]]&gt;Input_Tidshorisont,BlankTegn,
IF(Tidstabel[[#This Row],[LCA-Skæring]]=1,SUM(Tidstabel[[#This Row],[Emission_Netto]]*(1-ABS(Tidstabel[[#This Row],[LCA-Difference]])/(ABS(Tidstabel[[#This Row],[LCA-Difference]])+ABS(O31))),N31*(1-ABS(O31)/(ABS(Tidstabel[[#This Row],[LCA-Difference]])+ABS(O31)))),"-"))</f>
        <v>-</v>
      </c>
      <c r="U30" s="142" t="str">
        <f ca="1">IFERROR(IF(Tidstabel[[#This Row],[År]]&gt;Input_Tidshorisont,BlankTegn,
Tidstabel[[#This Row],[NPV_Klimafacade]]-Tidstabel[[#This Row],[NPV_Eksisterende]]),BlankTegn)</f>
        <v>.</v>
      </c>
      <c r="V30" s="271" t="str">
        <f ca="1">IFERROR(IF(Tidstabel[[#This Row],[År]]&gt;Input_Tidshorisont,BlankTegn,
IF(AND(Tidstabel[[#This Row],[NPV_Klimafacade]]-Tidstabel[[#This Row],[NPV_Eksisterende]]&gt;0,AB31-AA31&lt;0),1,IF(AND(Tidstabel[[#This Row],[NPV_Klimafacade]]-Tidstabel[[#This Row],[NPV_Eksisterende]]&lt;0,AB31-AA31&gt;0),-1,0))),BlankTegn)</f>
        <v>.</v>
      </c>
      <c r="W30" s="174" t="str">
        <f ca="1">IF(Tidstabel[[#This Row],[År]]&gt;Input_Tidshorisont,BlankTegn,
IF(Tidstabel[[#This Row],[LCC-Skæring]]=-1,SUM(Tidstabel[[#This Row],[År]]*(1-ABS(Tidstabel[[#This Row],[LCC-Difference]])/(ABS(Tidstabel[[#This Row],[LCC-Difference]])+ABS(U31))),A31*(1-ABS(U31)/(ABS(Tidstabel[[#This Row],[LCC-Difference]])+ABS(U31)))),"-"))</f>
        <v>-</v>
      </c>
      <c r="X30" s="174" t="str">
        <f ca="1">IF(Tidstabel[[#This Row],[År]]&gt;Input_Tidshorisont,BlankTegn,
IF(Tidstabel[[#This Row],[LCC-Skæring]]=-1,SUM(Tidstabel[[#This Row],[NPV_Klimafacade]]*(1-ABS(Tidstabel[[#This Row],[LCC-Difference]])/(ABS(Tidstabel[[#This Row],[LCC-Difference]])+ABS(U31))),AB31*(1-ABS(U31)/(ABS(Tidstabel[[#This Row],[LCC-Difference]])+ABS(U31)))),"-"))</f>
        <v>-</v>
      </c>
      <c r="Y30" s="174" t="str">
        <f ca="1">IF(Tidstabel[[#This Row],[År]]&gt;Input_Tidshorisont,BlankTegn,
IF(Tidstabel[[#This Row],[LCC-Skæring]]=1,SUM(Tidstabel[[#This Row],[År]]*(1-ABS(Tidstabel[[#This Row],[LCC-Difference]])/(ABS(Tidstabel[[#This Row],[LCC-Difference]])+ABS(U31))),A31*(1-ABS(U31)/(ABS(Tidstabel[[#This Row],[LCC-Difference]])+ABS(U31)))),"-"))</f>
        <v>-</v>
      </c>
      <c r="Z30" s="264" t="str">
        <f ca="1">IF(Tidstabel[[#This Row],[År]]&gt;Input_Tidshorisont,BlankTegn,
IF(Tidstabel[[#This Row],[LCC-Skæring]]=1,SUM(Tidstabel[[#This Row],[NPV_Klimafacade]]*(1-ABS(Tidstabel[[#This Row],[LCC-Difference]])/(ABS(Tidstabel[[#This Row],[LCC-Difference]])+ABS(U31))),AB31*(1-ABS(U31)/(ABS(Tidstabel[[#This Row],[LCC-Difference]])+ABS(U31)))),"-"))</f>
        <v>-</v>
      </c>
      <c r="AA30" s="142">
        <f ca="1">IF(Tidstabel[[#This Row],[År]]&gt;Input_Tidshorisont,BlankTegn,
Tidstabel[[#This Row],[EF_Vedligehold_Aggregeret]])</f>
        <v>-176.97884234053149</v>
      </c>
      <c r="AB30"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30" s="142" t="str">
        <f>IFERROR(IF(Tidstabel[[#This Row],[År]]&gt;Input_Tidshorisont,BlankTegn,
Tidstabel[[#This Row],[KF_Anskaffelse_Aggregeret]]+Tidstabel[[#This Row],[KF_Engangsudgifter_Aggregeret]]),BlankTegn)</f>
        <v>.</v>
      </c>
      <c r="AD30" s="174">
        <f ca="1">IFERROR(IF(Tidstabel[[#This Row],[År]]&gt;Input_Tidshorisont,BlankTegn,
IF(Tidstabel[[#This Row],[År]]=0,0,Tidstabel[[#This Row],[NPV_Eksisterende]]*(Tidstabel[[#This Row],[Kalkulationsrente]]/(1-(1+Tidstabel[[#This Row],[Kalkulationsrente]])^-Tidstabel[[#This Row],[År]])))),BlankTegn)</f>
        <v>-11.329973862747257</v>
      </c>
      <c r="AE30" s="264" t="str">
        <f ca="1">IFERROR(IF(Tidstabel[[#This Row],[År]]&gt;Input_Tidshorisont,BlankTegn,
IF(Tidstabel[[#This Row],[År]]=0,0,Tidstabel[[#This Row],[NPV_Klimafacade]]*(Tidstabel[[#This Row],[Kalkulationsrente]]/(1-(1+Tidstabel[[#This Row],[Kalkulationsrente]])^-Tidstabel[[#This Row],[År]])))),BlankTegn)</f>
        <v>.</v>
      </c>
      <c r="AF30" s="270">
        <f ca="1">IF(Tidstabel[[#This Row],[År]]&gt;Input_Tidshorisont,BlankTegn,
IF(EF_Vedligehold_i=1,IF(Tidstabel[[#This Row],[EF_Uds?]]=0,1,0),IF(MAX(AF29:OFFSET(AG29,2-EF_Vedligehold_i,0),Tidstabel[[#This Row],[EF_Uds?]])=0,1,0)))</f>
        <v>1</v>
      </c>
      <c r="AG30" s="181">
        <f>IF(Tidstabel[[#This Row],[År]]&gt;Input_Tidshorisont,BlankTegn,0)</f>
        <v>0</v>
      </c>
      <c r="AH30" s="263">
        <f ca="1">IF(Tidstabel[[#This Row],[År]]&gt;Input_Tidshorisont,BlankTegn,
Tidstabel[[#This Row],[EF_Ved?]]*EF_Vedligehold_p*-EF_Enhedspris*((1+Tidstabel[[#This Row],[Kalkulationsrente]])^-Tidstabel[[#This Row],[År]])*((1+PrisudviklingGenerelt)^Tidstabel[[#This Row],[År]]))</f>
        <v>-4.8267139268163897</v>
      </c>
      <c r="AI30" s="262">
        <f ca="1">IF(Tidstabel[[#This Row],[År]]&gt;Input_Tidshorisont,BlankTegn,
IF(Tidstabel[[#This Row],[År]]=0,Tidstabel[[#This Row],[EF_Vedligehold]],AI29+Tidstabel[[#This Row],[EF_Vedligehold]]))</f>
        <v>-176.97884234053149</v>
      </c>
      <c r="AJ30" s="245">
        <f>IFERROR(IF(Tidstabel[[#This Row],[År]]&gt;Input_Tidshorisont,BlankTegn,
Tidstabel[[#This Row],[FB_Anskaffelse]]+Tidstabel[[#This Row],[VS_Anskaffelse]]+Tidstabel[[#This Row],[EI_Anskaffelse]]+Tidstabel[[#This Row],[AP_Anskaffelse]]+Tidstabel[[#This Row],[SK_Anskaffelse]]),BlankTegn)</f>
        <v>0</v>
      </c>
      <c r="AK30" s="245" t="str">
        <f>IFERROR(IF(Tidstabel[[#This Row],[År]]&gt;Input_Tidshorisont,BlankTegn,
IF(Tidstabel[[#This Row],[År]]=0,Tidstabel[[#This Row],[KF_Anskaffelse]],AK29+Tidstabel[[#This Row],[KF_Anskaffelse]])),BlankTegn)</f>
        <v>.</v>
      </c>
      <c r="AL30" s="246" t="str">
        <f ca="1">IFERROR(IF(Tidstabel[[#This Row],[År]]&gt;Input_Tidshorisont,BlankTegn,
Tidstabel[[#This Row],[FB_Vedligehold]]+Tidstabel[[#This Row],[VS_Vedligehold]]+Tidstabel[[#This Row],[EI_Vedligehold]]+Tidstabel[[#This Row],[AP_Vedligehold]]+Tidstabel[[#This Row],[SK_Vedligehold]]),BlankTegn)</f>
        <v>.</v>
      </c>
      <c r="AM30" s="245" t="str">
        <f ca="1">IFERROR(IF(Tidstabel[[#This Row],[År]]&gt;Input_Tidshorisont,BlankTegn,
IF(Tidstabel[[#This Row],[År]]=0,Tidstabel[[#This Row],[KF_Vedligehold]],AM29+Tidstabel[[#This Row],[KF_Vedligehold]])),BlankTegn)</f>
        <v>.</v>
      </c>
      <c r="AN30"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30"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30" s="245" t="str">
        <f>IFERROR(IF(Tidstabel[[#This Row],[År]]&gt;Input_Tidshorisont,BlankTegn,
IF(Tidstabel[[#This Row],[År]]=0,Tidstabel[[#This Row],[KF_Udskiftning_Komponent]],AP29+Tidstabel[[#This Row],[KF_Udskiftning_Komponent]])),BlankTegn)</f>
        <v>.</v>
      </c>
      <c r="AQ30" s="245">
        <f>IF(Tidstabel[[#This Row],[År]]&gt;Input_Tidshorisont,BlankTegn,
IF(Tidstabel[[#This Row],[År]]=0,-SUM(Engangsudgifter[Udgift]),0))</f>
        <v>0</v>
      </c>
      <c r="AR30" s="245">
        <f>IFERROR(IF(Tidstabel[[#This Row],[År]]&gt;Input_Tidshorisont,BlankTegn,
IF(Tidstabel[[#This Row],[År]]=0,Tidstabel[[#This Row],[KF_Engangsudgifter]],AR29+Tidstabel[[#This Row],[KF_Engangsudgifter]])),BlankTegn)</f>
        <v>0</v>
      </c>
      <c r="AS30" s="315" t="str">
        <f>IFERROR(IF(Tidstabel[[#This Row],[År]]&gt;Input_Tidshorisont,BlankTegn,
-Energibesparelse_Årlig),BlankTegn)</f>
        <v>.</v>
      </c>
      <c r="AT30" s="245" t="str">
        <f>IFERROR(IF(Tidstabel[[#This Row],[År]]&gt;Input_Tidshorisont,BlankTegn,
IF(Tidstabel[[#This Row],[År]]=0,0,-Tidstabel[[#This Row],[KF_Energiforbrug]]*Input_Fjernvarmepris*((1+Tidstabel[[#This Row],[Kalkulationsrente]])^-Tidstabel[[#This Row],[År]])*((1+PrisudviklingFjernvarme)^Tidstabel[[#This Row],[År]]))),BlankTegn)</f>
        <v>.</v>
      </c>
      <c r="AU30" s="262" t="str">
        <f>IFERROR(IF(Tidstabel[[#This Row],[År]]&gt;Input_Tidshorisont,BlankTegn,
IF(Tidstabel[[#This Row],[År]]=0,Tidstabel[[#This Row],[KF_Forsyning]],AU29+Tidstabel[[#This Row],[KF_Forsyning]])),BlankTegn)</f>
        <v>.</v>
      </c>
      <c r="AV30" s="245">
        <f>IFERROR(IF(Tidstabel[[#This Row],[År]]&gt;Input_Tidshorisont,BlankTegn,
IF(Tidstabel[[#This Row],[År]]=0,-FB_Enhedspris,0)),BlankTegn)</f>
        <v>0</v>
      </c>
      <c r="AW30" s="245" t="str">
        <f>IFERROR(IF(Tidstabel[[#This Row],[År]]&gt;Input_Tidshorisont,BlankTegn,
IF(Tidstabel[[#This Row],[År]]=0,FB_Enhedspris/FB_Levetid,AW29*((1+Tidstabel[[#This Row],[Kalkulationsrente]])^-1)*((1+PrisudviklingGenerelt)^1))),BlankTegn)</f>
        <v>.</v>
      </c>
      <c r="AX30" s="178" t="str">
        <f ca="1">IFERROR(IF(Tidstabel[[#This Row],[År]]&gt;Input_Tidshorisont,BlankTegn,
IF(FB_Vedligehold_i=1,IF(Tidstabel[[#This Row],[FB_Uds?]]=0,1,0),IF(MAX(AX29:OFFSET(AY29,2-FB_Vedligehold_i,0),Tidstabel[[#This Row],[FB_Uds?]])=0,1,0))),BlankTegn)</f>
        <v>.</v>
      </c>
      <c r="AY30" s="178" t="str">
        <f>IFERROR(IF(Tidstabel[[#This Row],[År]]&gt;Input_Tidshorisont,BlankTegn,
IF(Tidstabel[[#This Row],[År]]=0,1,IF(MOD(Tidstabel[[#This Row],[År]],FB_Levetid)=0,1,IF(Tidstabel[[#This Row],[År]]=Input_Tidshorisont,0,0)))),BlankTegn)</f>
        <v>.</v>
      </c>
      <c r="AZ30" s="245" t="str">
        <f ca="1">IFERROR(IF(Tidstabel[[#This Row],[År]]&gt;Input_Tidshorisont,BlankTegn,
FB_Vedligehold_p*-FB_Enhedspris*Tidstabel[[#This Row],[FB_Ved?]]*((1+Tidstabel[[#This Row],[Kalkulationsrente]])^-Tidstabel[[#This Row],[År]])*((1+PrisudviklingGenerelt)^Tidstabel[[#This Row],[År]])),BlankTegn)</f>
        <v>.</v>
      </c>
      <c r="BA30" s="245" t="str">
        <f>IFERROR(IF(Tidstabel[[#This Row],[År]]&gt;Input_Tidshorisont,BlankTegn,
IF(Tidstabel[[#This Row],[År]]=0,FB_Enhedspris,SUM(BA29:BB29)*((1+Tidstabel[[#This Row],[Kalkulationsrente]])^-1)*((1+PrisudviklingGenerelt)^1)-Tidstabel[[#This Row],[FB_Afskrivning]])),BlankTegn)</f>
        <v>.</v>
      </c>
      <c r="BB30" s="245" t="str">
        <f>IFERROR(IF(Tidstabel[[#This Row],[År]]&gt;Input_Tidshorisont,BlankTegn,
IF(Tidstabel[[#This Row],[År]]=0,0,Tidstabel[[#This Row],[FB_Uds?]]*FB_Enhedspris*((1+Tidstabel[[#This Row],[Kalkulationsrente]])^-Tidstabel[[#This Row],[År]])*((1+PrisudviklingGenerelt)^Tidstabel[[#This Row],[År]]))),BlankTegn)</f>
        <v>.</v>
      </c>
      <c r="BC30" s="262" t="str">
        <f>IFERROR(IF(Tidstabel[[#This Row],[År]]&gt;Input_Tidshorisont,BlankTegn,
IF(Tidstabel[[#This Row],[År]]=0,0,Tidstabel[[#This Row],[FB_Uds?]]*-FB_Enhedspris*FB_Genoprettelse*((1+Tidstabel[[#This Row],[Kalkulationsrente]])^-Tidstabel[[#This Row],[År]])*((1+PrisudviklingGenerelt)^Tidstabel[[#This Row],[År]]))),BlankTegn)</f>
        <v>.</v>
      </c>
      <c r="BD30" s="245">
        <f>IFERROR(IF(Tidstabel[[#This Row],[År]]&gt;Input_Tidshorisont,BlankTegn,
IF(Tidstabel[[#This Row],[År]]=0,-VS_Enhedspris,0)),BlankTegn)</f>
        <v>0</v>
      </c>
      <c r="BE30" s="245" t="str">
        <f>IFERROR(IF(Tidstabel[[#This Row],[År]]&gt;Input_Tidshorisont,BlankTegn,
IF(Tidstabel[[#This Row],[År]]=0,VS_Enhedspris/VS_Levetid,BE29*((1+Tidstabel[[#This Row],[Kalkulationsrente]])^-1)*((1+PrisudviklingGenerelt)^1))),BlankTegn)</f>
        <v>.</v>
      </c>
      <c r="BF30" s="178" t="str">
        <f ca="1">IFERROR(IF(Tidstabel[[#This Row],[År]]&gt;Input_Tidshorisont,BlankTegn,
IF(VS_Vedligehold_i=1,IF(Tidstabel[[#This Row],[VS_Uds?]]=0,1,0),IF(MAX(BF29:OFFSET(BG29,2-VS_Vedligehold_i,0),Tidstabel[[#This Row],[VS_Uds?]])=0,1,0))),BlankTegn)</f>
        <v>.</v>
      </c>
      <c r="BG30" s="178" t="str">
        <f>IFERROR(IF(Tidstabel[[#This Row],[År]]&gt;Input_Tidshorisont,BlankTegn,
IF(Tidstabel[[#This Row],[År]]=0,1,IF(MOD(Tidstabel[[#This Row],[År]],VS_Levetid)=0,1,IF(Tidstabel[[#This Row],[År]]=Input_Tidshorisont,0,0)))),BlankTegn)</f>
        <v>.</v>
      </c>
      <c r="BH30" s="245" t="str">
        <f ca="1">IFERROR(IF(Tidstabel[[#This Row],[År]]&gt;Input_Tidshorisont,BlankTegn,
VS_Vedligehold_p*-VS_Enhedspris*Tidstabel[[#This Row],[VS_Ved?]]*((1+Tidstabel[[#This Row],[Kalkulationsrente]])^-Tidstabel[[#This Row],[År]])*((1+PrisudviklingGenerelt)^Tidstabel[[#This Row],[År]])),BlankTegn)</f>
        <v>.</v>
      </c>
      <c r="BI30" s="245" t="str">
        <f>IFERROR(IF(Tidstabel[[#This Row],[År]]&gt;Input_Tidshorisont,BlankTegn,
IF(Tidstabel[[#This Row],[År]]=0,VS_Enhedspris,SUM(BI29:BJ29)*((1+Tidstabel[[#This Row],[Kalkulationsrente]])^-1)*((1+PrisudviklingGenerelt)^1)-Tidstabel[[#This Row],[VS_Afskrivning]])),BlankTegn)</f>
        <v>.</v>
      </c>
      <c r="BJ30" s="245" t="str">
        <f>IFERROR(IF(Tidstabel[[#This Row],[År]]&gt;Input_Tidshorisont,BlankTegn,
IF(Tidstabel[[#This Row],[År]]=0,0,Tidstabel[[#This Row],[VS_Uds?]]*VS_Enhedspris*((1+Tidstabel[[#This Row],[Kalkulationsrente]])^-Tidstabel[[#This Row],[År]])*((1+PrisudviklingGenerelt)^Tidstabel[[#This Row],[År]]))),BlankTegn)</f>
        <v>.</v>
      </c>
      <c r="BK30" s="262" t="str">
        <f>IFERROR(IF(Tidstabel[[#This Row],[År]]&gt;Input_Tidshorisont,BlankTegn,
IF(Tidstabel[[#This Row],[År]]=0,0,Tidstabel[[#This Row],[VS_Uds?]]*-VS_Enhedspris*VS_Genoprettelse*((1+Tidstabel[[#This Row],[Kalkulationsrente]])^-Tidstabel[[#This Row],[År]])*((1+PrisudviklingGenerelt)^Tidstabel[[#This Row],[År]]))),BlankTegn)</f>
        <v>.</v>
      </c>
      <c r="BL30" s="245">
        <f>IFERROR(IF(Tidstabel[[#This Row],[År]]&gt;Input_Tidshorisont,BlankTegn,
IF(Tidstabel[[#This Row],[År]]=0,-EI_Enhedspris,0)),BlankTegn)</f>
        <v>0</v>
      </c>
      <c r="BM30" s="245" t="str">
        <f>IFERROR(IF(Tidstabel[[#This Row],[År]]&gt;Input_Tidshorisont,BlankTegn,
IF(Tidstabel[[#This Row],[År]]=0,EI_Enhedspris/EI_Levetid,BM29*((1+Tidstabel[[#This Row],[Kalkulationsrente]])^-1)*((1+PrisudviklingGenerelt)^1))),BlankTegn)</f>
        <v>.</v>
      </c>
      <c r="BN30" s="178" t="str">
        <f ca="1">IFERROR(IF(Tidstabel[[#This Row],[År]]&gt;Input_Tidshorisont,BlankTegn,
IF(EI_Vedligehold_i=1,IF(Tidstabel[[#This Row],[EI_Uds?]]=0,1,0),IF(MAX(BN29:OFFSET(BO29,2-EI_Vedligehold_i,0),Tidstabel[[#This Row],[EI_Uds?]])=0,1,0))),BlankTegn)</f>
        <v>.</v>
      </c>
      <c r="BO30" s="178" t="str">
        <f>IFERROR(IF(Tidstabel[[#This Row],[År]]&gt;Input_Tidshorisont,BlankTegn,
IF(Tidstabel[[#This Row],[År]]=0,1,IF(MOD(Tidstabel[[#This Row],[År]],EI_Levetid)=0,1,IF(Tidstabel[[#This Row],[År]]=Input_Tidshorisont,0,0)))),BlankTegn)</f>
        <v>.</v>
      </c>
      <c r="BP30" s="245" t="str">
        <f ca="1">IFERROR(IF(Tidstabel[[#This Row],[År]]&gt;Input_Tidshorisont,BlankTegn,
EI_Vedligehold_p*-EI_Enhedspris*Tidstabel[[#This Row],[EI_Ved?]]*((1+Tidstabel[[#This Row],[Kalkulationsrente]])^-Tidstabel[[#This Row],[År]])*((1+PrisudviklingGenerelt)^Tidstabel[[#This Row],[År]])),BlankTegn)</f>
        <v>.</v>
      </c>
      <c r="BQ30" s="245" t="str">
        <f>IFERROR(IF(Tidstabel[[#This Row],[År]]&gt;Input_Tidshorisont,BlankTegn,
IF(Tidstabel[[#This Row],[År]]=0,EI_Enhedspris,SUM(BQ29:BR29)*((1+Tidstabel[[#This Row],[Kalkulationsrente]])^-1)*((1+PrisudviklingGenerelt)^1)-Tidstabel[[#This Row],[EI_Afskrivning]])),BlankTegn)</f>
        <v>.</v>
      </c>
      <c r="BR30" s="245" t="str">
        <f>IFERROR(IF(Tidstabel[[#This Row],[År]]&gt;Input_Tidshorisont,BlankTegn,
IF(Tidstabel[[#This Row],[År]]=0,0,Tidstabel[[#This Row],[EI_Uds?]]*EI_Enhedspris*((1+Tidstabel[[#This Row],[Kalkulationsrente]])^-Tidstabel[[#This Row],[År]])*((1+PrisudviklingGenerelt)^Tidstabel[[#This Row],[År]]))),BlankTegn)</f>
        <v>.</v>
      </c>
      <c r="BS30" s="262" t="str">
        <f>IFERROR(IF(Tidstabel[[#This Row],[År]]&gt;Input_Tidshorisont,BlankTegn,
IF(Tidstabel[[#This Row],[År]]=0,0,Tidstabel[[#This Row],[EI_Uds?]]*-EI_Enhedspris*EI_Genoprettelse*((1+Tidstabel[[#This Row],[Kalkulationsrente]])^-Tidstabel[[#This Row],[År]])*((1+PrisudviklingGenerelt)^Tidstabel[[#This Row],[År]]))),BlankTegn)</f>
        <v>.</v>
      </c>
      <c r="BT30" s="245">
        <f>IFERROR(IF(Tidstabel[[#This Row],[År]]&gt;Input_Tidshorisont,BlankTegn,
IF(Tidstabel[[#This Row],[År]]=0,-AP_Enhedspris,0)),BlankTegn)</f>
        <v>0</v>
      </c>
      <c r="BU30" s="245" t="str">
        <f>IFERROR(IF(Tidstabel[[#This Row],[År]]&gt;Input_Tidshorisont,BlankTegn,
IF(Tidstabel[[#This Row],[År]]=0,AP_Enhedspris/AP_Levetid,BU29*((1+Tidstabel[[#This Row],[Kalkulationsrente]])^-1)*((1+PrisudviklingGenerelt)^1))),BlankTegn)</f>
        <v>.</v>
      </c>
      <c r="BV30" s="178" t="str">
        <f ca="1">IFERROR(IF(Tidstabel[[#This Row],[År]]&gt;Input_Tidshorisont,BlankTegn,
IF(AP_Vedligehold_i=1,IF(Tidstabel[[#This Row],[AP_Uds?]]=0,1,0),IF(MAX(BV29:OFFSET(BW29,2-AP_Vedligehold_i,0),Tidstabel[[#This Row],[AP_Uds?]])=0,1,0))),BlankTegn)</f>
        <v>.</v>
      </c>
      <c r="BW30" s="178" t="str">
        <f>IFERROR(IF(Tidstabel[[#This Row],[År]]&gt;Input_Tidshorisont,BlankTegn,
IF(Tidstabel[[#This Row],[År]]=0,1,IF(MOD(Tidstabel[[#This Row],[År]],AP_Levetid)=0,1,IF(Tidstabel[[#This Row],[År]]=Input_Tidshorisont,0,0)))),BlankTegn)</f>
        <v>.</v>
      </c>
      <c r="BX30" s="245" t="str">
        <f ca="1">IFERROR(IF(Tidstabel[[#This Row],[År]]&gt;Input_Tidshorisont,BlankTegn,
AP_Vedligehold_p*-AP_Enhedspris*Tidstabel[[#This Row],[AP_Ved?]]*((1+Tidstabel[[#This Row],[Kalkulationsrente]])^-Tidstabel[[#This Row],[År]])*((1+PrisudviklingGenerelt)^Tidstabel[[#This Row],[År]])),BlankTegn)</f>
        <v>.</v>
      </c>
      <c r="BY30" s="245" t="str">
        <f>IFERROR(IF(Tidstabel[[#This Row],[År]]&gt;Input_Tidshorisont,BlankTegn,
IF(Tidstabel[[#This Row],[År]]=0,AP_Enhedspris,SUM(BY29:BZ29)*((1+Tidstabel[[#This Row],[Kalkulationsrente]])^-1)*((1+PrisudviklingGenerelt)^1)-Tidstabel[[#This Row],[AP_Afskrivning]])),BlankTegn)</f>
        <v>.</v>
      </c>
      <c r="BZ30" s="245" t="str">
        <f>IFERROR(IF(Tidstabel[[#This Row],[År]]&gt;Input_Tidshorisont,BlankTegn,
IF(Tidstabel[[#This Row],[År]]=0,0,Tidstabel[[#This Row],[AP_Uds?]]*AP_Enhedspris*((1+Tidstabel[[#This Row],[Kalkulationsrente]])^-Tidstabel[[#This Row],[År]])*((1+PrisudviklingGenerelt)^Tidstabel[[#This Row],[År]]))),BlankTegn)</f>
        <v>.</v>
      </c>
      <c r="CA30" s="262" t="str">
        <f>IFERROR(IF(Tidstabel[[#This Row],[År]]&gt;Input_Tidshorisont,BlankTegn,
IF(Tidstabel[[#This Row],[År]]=0,0,Tidstabel[[#This Row],[AP_Uds?]]*-AP_Enhedspris*AP_Genoprettelse*((1+Tidstabel[[#This Row],[Kalkulationsrente]])^-Tidstabel[[#This Row],[År]])*((1+PrisudviklingGenerelt)^Tidstabel[[#This Row],[År]]))),BlankTegn)</f>
        <v>.</v>
      </c>
      <c r="CB30" s="245">
        <f>IFERROR(IF(Tidstabel[[#This Row],[År]]&gt;Input_Tidshorisont,BlankTegn,
IF(Tidstabel[[#This Row],[År]]=0,-SK_Enhedspris,0)),BlankTegn)</f>
        <v>0</v>
      </c>
      <c r="CC30" s="245" t="str">
        <f>IFERROR(IF(Tidstabel[[#This Row],[År]]&gt;Input_Tidshorisont,BlankTegn,
IF(Tidstabel[[#This Row],[År]]=0,SK_Enhedspris/SK_Levetid,CC29*((1+Tidstabel[[#This Row],[Kalkulationsrente]])^-1)*((1+PrisudviklingGenerelt)^1))),BlankTegn)</f>
        <v>.</v>
      </c>
      <c r="CD30" s="178" t="str">
        <f ca="1">IFERROR(IF(Tidstabel[[#This Row],[År]]&gt;Input_Tidshorisont,BlankTegn,
IF(SK_Vedligehold_i=1,IF(Tidstabel[[#This Row],[SK_Uds?]]=0,1,0),IF(MAX(CD29:OFFSET(CE29,2-SK_Vedligehold_i,0),Tidstabel[[#This Row],[SK_Uds?]])=0,1,0))),BlankTegn)</f>
        <v>.</v>
      </c>
      <c r="CE30" s="178" t="str">
        <f>IFERROR(IF(Tidstabel[[#This Row],[År]]&gt;Input_Tidshorisont,BlankTegn,
IF(Tidstabel[[#This Row],[År]]=0,1,IF(MOD(Tidstabel[[#This Row],[År]],SK_Levetid)=0,1,IF(Tidstabel[[#This Row],[År]]=Input_Tidshorisont,0,0)))),BlankTegn)</f>
        <v>.</v>
      </c>
      <c r="CF30" s="245" t="str">
        <f ca="1">IFERROR(IF(Tidstabel[[#This Row],[År]]&gt;Input_Tidshorisont,BlankTegn,
SK_Vedligehold_p*-SK_Enhedspris*Tidstabel[[#This Row],[SK_Ved?]]*((1+Tidstabel[[#This Row],[Kalkulationsrente]])^-Tidstabel[[#This Row],[År]])*((1+PrisudviklingGenerelt)^Tidstabel[[#This Row],[År]])),BlankTegn)</f>
        <v>.</v>
      </c>
      <c r="CG30" s="245" t="str">
        <f>IFERROR(IF(Tidstabel[[#This Row],[År]]&gt;Input_Tidshorisont,BlankTegn,
IF(Tidstabel[[#This Row],[År]]=0,SK_Enhedspris,SUM(CG29:CH29)*((1+Tidstabel[[#This Row],[Kalkulationsrente]])^-1)*((1+PrisudviklingGenerelt)^1)-Tidstabel[[#This Row],[SK_Afskrivning]])),BlankTegn)</f>
        <v>.</v>
      </c>
      <c r="CH30" s="245" t="str">
        <f>IFERROR(IF(Tidstabel[[#This Row],[År]]&gt;Input_Tidshorisont,BlankTegn,
IF(Tidstabel[[#This Row],[År]]=0,0,Tidstabel[[#This Row],[SK_Uds?]]*SK_Enhedspris*((1+Tidstabel[[#This Row],[Kalkulationsrente]])^-Tidstabel[[#This Row],[År]])*((1+PrisudviklingGenerelt)^Tidstabel[[#This Row],[År]]))),BlankTegn)</f>
        <v>.</v>
      </c>
      <c r="CI30" s="262" t="str">
        <f>IFERROR(IF(Tidstabel[[#This Row],[År]]&gt;Input_Tidshorisont,BlankTegn,
IF(Tidstabel[[#This Row],[År]]=0,0,Tidstabel[[#This Row],[SK_Uds?]]*-SK_Enhedspris*SK_Genoprettelse*((1+Tidstabel[[#This Row],[Kalkulationsrente]])^-Tidstabel[[#This Row],[År]])*((1+PrisudviklingGenerelt)^Tidstabel[[#This Row],[År]]))),BlankTegn)</f>
        <v>.</v>
      </c>
      <c r="CJ30" s="19"/>
    </row>
    <row r="31" spans="1:88">
      <c r="A31" s="250">
        <v>24</v>
      </c>
      <c r="B31" s="250">
        <f>Input_Etableringsår+Tidstabel[[#This Row],[År]]</f>
        <v>2048</v>
      </c>
      <c r="C31" s="274" cm="1">
        <f t="array" ref="C31">_xlfn.IFS(Tidstabel[[#This Row],[År]]&gt;KR_Trin3_Tærskel,KR_Trin3_Rente,Tidstabel[[#This Row],[År]]&gt;KR_Trin2_Tærskel,KR_Trin2_Rente,Tidstabel[[#This Row],[År]]&gt;KR_Trin1_Tærskel,KR_Trin1_Rente,Tidstabel[[#This Row],[År]]&gt;KR_Trin0_Tærskel,KR_Trin0_Rente)</f>
        <v>3.5000000000000003E-2</v>
      </c>
      <c r="D31" s="142" t="str" cm="1">
        <f t="array" ref="D31">IFERROR(
INDEX(Range_Materiale_ÅrligeEmissioner,MATCH(1,(Materialedata[Komponent]=FB_Titel)*(Materialedata[Materiale]=FB_Materiale),0),MATCH(Tidstabel[[#This Row],[År]],Range_Materiale_År,0)),BlankTegn)</f>
        <v>.</v>
      </c>
      <c r="E31" s="142" t="str" cm="1">
        <f t="array" ref="E31">IFERROR(
INDEX(Range_Materiale_ÅrligeEmissioner,MATCH(1,(Materialedata[Komponent]=SK_Titel)*(Materialedata[Materiale]=SK_Materiale),0),MATCH(Tidstabel[[#This Row],[År]],Range_Materiale_År,0)),BlankTegn)</f>
        <v>.</v>
      </c>
      <c r="F31" s="142" t="str" cm="1">
        <f t="array" ref="F31">IFERROR(
INDEX(Range_Materiale_ÅrligeEmissioner,MATCH(1,(Materialedata[Komponent]=EI_Titel)*(Materialedata[Materiale]=EI_Materiale),0),MATCH(Tidstabel[[#This Row],[År]],Range_Materiale_År,0)),BlankTegn)</f>
        <v>.</v>
      </c>
      <c r="G31" s="142" t="str" cm="1">
        <f t="array" ref="G31">IFERROR(
INDEX(Range_Materiale_ÅrligeEmissioner,MATCH(1,(Materialedata[Komponent]=AP_Titel)*(Materialedata[Materiale]=AP_Materiale),0),MATCH(Tidstabel[[#This Row],[År]],Range_Materiale_År,0)),BlankTegn)</f>
        <v>.</v>
      </c>
      <c r="H31" s="142" t="str" cm="1">
        <f t="array" ref="H31">IFERROR(
INDEX(Range_Materiale_ÅrligeEmissioner,MATCH(1,(Materialedata[Komponent]=VS_Titel)*(Materialedata[Materiale]=VS_Materiale),0),MATCH(Tidstabel[[#This Row],[År]],Range_Materiale_År,0)),BlankTegn)</f>
        <v>.</v>
      </c>
      <c r="I31" s="142" t="str">
        <f>IFERROR(
IF(SUM(Tidstabel[[#This Row],[Facadebeklædning]:[Vindspærre]])=0,BlankTegn,
SUM(Tidstabel[[#This Row],[Facadebeklædning]:[Vindspærre]])),BlankTegn)</f>
        <v>.</v>
      </c>
      <c r="J31" s="139">
        <f>IF(Tidstabel[[#This Row],[År]]&gt;Input_Tidshorisont,BlankTegn,
A5_ElVarmeBrændstofByggeplads)</f>
        <v>0.25</v>
      </c>
      <c r="K31" s="142" t="str">
        <f>IFERROR(IF(Tidstabel[[#This Row],[År]]&gt;Input_Tidshorisont,BlankTegn,
-1*INDEX(Range_Energi_ÅrligBesparelse,MATCH(Input_EksisterendeFacade,Energiberegning[Ydervæg],0),MATCH(Tidstabel[[#This Row],[Årstal]],Range_Energi_Årstal,0))),BlankTegn)</f>
        <v>.</v>
      </c>
      <c r="L31" s="142">
        <f>IF(Tidstabel[[#This Row],[År]]&gt;Input_Tidshorisont,BlankTegn,
(Tidstabel[[#This Row],[År]]+1)*(SUM(Vedligeholdelsesmaterialer[Facadefarve],Vedligeholdelsesmaterialer[Grunder og mellemmaling])/12+SUM(Vedligeholdelsesmaterialer[Puds])/30))</f>
        <v>8.1213571458333327</v>
      </c>
      <c r="M31" s="142" t="str">
        <f>IFERROR(IF(Tidstabel[[#This Row],[År]]&gt;Input_Tidshorisont,BlankTegn,
Tidstabel[[#This Row],[Materialer_Total]]+Tidstabel[[#This Row],[Byggeprocess]]),BlankTegn)</f>
        <v>.</v>
      </c>
      <c r="N31" s="142" t="str">
        <f>IFERROR(IF(Tidstabel[[#This Row],[År]]&gt;Input_Tidshorisont,BlankTegn,
Tidstabel[[#This Row],[Energibesparelse]]+Tidstabel[[#This Row],[Emission_Brutto]]),BlankTegn)</f>
        <v>.</v>
      </c>
      <c r="O31" s="142" t="str">
        <f>IFERROR(IF(Tidstabel[[#This Row],[År]]&gt;Input_Tidshorisont,BlankTegn,
Tidstabel[[#This Row],[Emission_Netto]]-Tidstabel[[#This Row],[Vedligehold_EksisterendeFacade]]),BlankTegn)</f>
        <v>.</v>
      </c>
      <c r="P31" s="271" t="str">
        <f>IFERROR(IF(Tidstabel[[#This Row],[År]]&gt;Input_Tidshorisont,BlankTegn,
IF(AND(Tidstabel[[#This Row],[Emission_Netto]]-Tidstabel[[#This Row],[Vedligehold_EksisterendeFacade]]&gt;0,N32-L32&lt;0),-1,IF(AND(Tidstabel[[#This Row],[Emission_Netto]]-Tidstabel[[#This Row],[Vedligehold_EksisterendeFacade]]&lt;0,N32-L32&gt;0),1,0))),BlankTegn)</f>
        <v>.</v>
      </c>
      <c r="Q31" s="174" t="str">
        <f>IF(Tidstabel[[#This Row],[År]]&gt;Input_Tidshorisont,BlankTegn,
IF(Tidstabel[[#This Row],[LCA-Skæring]]=-1,SUM(Tidstabel[[#This Row],[År]]*(1-ABS(Tidstabel[[#This Row],[LCA-Difference]])/(ABS(Tidstabel[[#This Row],[LCA-Difference]])+ABS(O32))),A32*(1-ABS(O32)/(ABS(Tidstabel[[#This Row],[LCA-Difference]])+ABS(O32)))),"-"))</f>
        <v>-</v>
      </c>
      <c r="R31" s="174" t="str">
        <f>IF(Tidstabel[[#This Row],[År]]&gt;Input_Tidshorisont,BlankTegn,
IF(Tidstabel[[#This Row],[LCA-Skæring]]=-1,SUM(Tidstabel[[#This Row],[Emission_Netto]]*(1-ABS(Tidstabel[[#This Row],[LCA-Difference]])/(ABS(Tidstabel[[#This Row],[LCA-Difference]])+ABS(O32))),N32*(1-ABS(O32)/(ABS(Tidstabel[[#This Row],[LCA-Difference]])+ABS(O32)))),"-"))</f>
        <v>-</v>
      </c>
      <c r="S31" s="174" t="str">
        <f>IF(Tidstabel[[#This Row],[År]]&gt;Input_Tidshorisont,BlankTegn,
IF(Tidstabel[[#This Row],[LCA-Skæring]]=1,SUM(Tidstabel[[#This Row],[År]]*(1-ABS(Tidstabel[[#This Row],[LCA-Difference]])/(ABS(Tidstabel[[#This Row],[LCA-Difference]])+ABS(O32))),A32*(1-ABS(O32)/(ABS(Tidstabel[[#This Row],[LCA-Difference]])+ABS(O32)))),"-"))</f>
        <v>-</v>
      </c>
      <c r="T31" s="264" t="str">
        <f>IF(Tidstabel[[#This Row],[År]]&gt;Input_Tidshorisont,BlankTegn,
IF(Tidstabel[[#This Row],[LCA-Skæring]]=1,SUM(Tidstabel[[#This Row],[Emission_Netto]]*(1-ABS(Tidstabel[[#This Row],[LCA-Difference]])/(ABS(Tidstabel[[#This Row],[LCA-Difference]])+ABS(O32))),N32*(1-ABS(O32)/(ABS(Tidstabel[[#This Row],[LCA-Difference]])+ABS(O32)))),"-"))</f>
        <v>-</v>
      </c>
      <c r="U31" s="142" t="str">
        <f ca="1">IFERROR(IF(Tidstabel[[#This Row],[År]]&gt;Input_Tidshorisont,BlankTegn,
Tidstabel[[#This Row],[NPV_Klimafacade]]-Tidstabel[[#This Row],[NPV_Eksisterende]]),BlankTegn)</f>
        <v>.</v>
      </c>
      <c r="V31" s="271" t="str">
        <f ca="1">IFERROR(IF(Tidstabel[[#This Row],[År]]&gt;Input_Tidshorisont,BlankTegn,
IF(AND(Tidstabel[[#This Row],[NPV_Klimafacade]]-Tidstabel[[#This Row],[NPV_Eksisterende]]&gt;0,AB32-AA32&lt;0),1,IF(AND(Tidstabel[[#This Row],[NPV_Klimafacade]]-Tidstabel[[#This Row],[NPV_Eksisterende]]&lt;0,AB32-AA32&gt;0),-1,0))),BlankTegn)</f>
        <v>.</v>
      </c>
      <c r="W31" s="174" t="str">
        <f ca="1">IF(Tidstabel[[#This Row],[År]]&gt;Input_Tidshorisont,BlankTegn,
IF(Tidstabel[[#This Row],[LCC-Skæring]]=-1,SUM(Tidstabel[[#This Row],[År]]*(1-ABS(Tidstabel[[#This Row],[LCC-Difference]])/(ABS(Tidstabel[[#This Row],[LCC-Difference]])+ABS(U32))),A32*(1-ABS(U32)/(ABS(Tidstabel[[#This Row],[LCC-Difference]])+ABS(U32)))),"-"))</f>
        <v>-</v>
      </c>
      <c r="X31" s="174" t="str">
        <f ca="1">IF(Tidstabel[[#This Row],[År]]&gt;Input_Tidshorisont,BlankTegn,
IF(Tidstabel[[#This Row],[LCC-Skæring]]=-1,SUM(Tidstabel[[#This Row],[NPV_Klimafacade]]*(1-ABS(Tidstabel[[#This Row],[LCC-Difference]])/(ABS(Tidstabel[[#This Row],[LCC-Difference]])+ABS(U32))),AB32*(1-ABS(U32)/(ABS(Tidstabel[[#This Row],[LCC-Difference]])+ABS(U32)))),"-"))</f>
        <v>-</v>
      </c>
      <c r="Y31" s="174" t="str">
        <f ca="1">IF(Tidstabel[[#This Row],[År]]&gt;Input_Tidshorisont,BlankTegn,
IF(Tidstabel[[#This Row],[LCC-Skæring]]=1,SUM(Tidstabel[[#This Row],[År]]*(1-ABS(Tidstabel[[#This Row],[LCC-Difference]])/(ABS(Tidstabel[[#This Row],[LCC-Difference]])+ABS(U32))),A32*(1-ABS(U32)/(ABS(Tidstabel[[#This Row],[LCC-Difference]])+ABS(U32)))),"-"))</f>
        <v>-</v>
      </c>
      <c r="Z31" s="264" t="str">
        <f ca="1">IF(Tidstabel[[#This Row],[År]]&gt;Input_Tidshorisont,BlankTegn,
IF(Tidstabel[[#This Row],[LCC-Skæring]]=1,SUM(Tidstabel[[#This Row],[NPV_Klimafacade]]*(1-ABS(Tidstabel[[#This Row],[LCC-Difference]])/(ABS(Tidstabel[[#This Row],[LCC-Difference]])+ABS(U32))),AB32*(1-ABS(U32)/(ABS(Tidstabel[[#This Row],[LCC-Difference]])+ABS(U32)))),"-"))</f>
        <v>-</v>
      </c>
      <c r="AA31" s="142">
        <f ca="1">IF(Tidstabel[[#This Row],[År]]&gt;Input_Tidshorisont,BlankTegn,
Tidstabel[[#This Row],[EF_Vedligehold_Aggregeret]])</f>
        <v>-181.6423340572623</v>
      </c>
      <c r="AB31"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31" s="142" t="str">
        <f>IFERROR(IF(Tidstabel[[#This Row],[År]]&gt;Input_Tidshorisont,BlankTegn,
Tidstabel[[#This Row],[KF_Anskaffelse_Aggregeret]]+Tidstabel[[#This Row],[KF_Engangsudgifter_Aggregeret]]),BlankTegn)</f>
        <v>.</v>
      </c>
      <c r="AD31" s="174">
        <f ca="1">IFERROR(IF(Tidstabel[[#This Row],[År]]&gt;Input_Tidshorisont,BlankTegn,
IF(Tidstabel[[#This Row],[År]]=0,0,Tidstabel[[#This Row],[NPV_Eksisterende]]*(Tidstabel[[#This Row],[Kalkulationsrente]]/(1-(1+Tidstabel[[#This Row],[Kalkulationsrente]])^-Tidstabel[[#This Row],[År]])))),BlankTegn)</f>
        <v>-11.31138223683126</v>
      </c>
      <c r="AE31" s="264" t="str">
        <f ca="1">IFERROR(IF(Tidstabel[[#This Row],[År]]&gt;Input_Tidshorisont,BlankTegn,
IF(Tidstabel[[#This Row],[År]]=0,0,Tidstabel[[#This Row],[NPV_Klimafacade]]*(Tidstabel[[#This Row],[Kalkulationsrente]]/(1-(1+Tidstabel[[#This Row],[Kalkulationsrente]])^-Tidstabel[[#This Row],[År]])))),BlankTegn)</f>
        <v>.</v>
      </c>
      <c r="AF31" s="270">
        <f ca="1">IF(Tidstabel[[#This Row],[År]]&gt;Input_Tidshorisont,BlankTegn,
IF(EF_Vedligehold_i=1,IF(Tidstabel[[#This Row],[EF_Uds?]]=0,1,0),IF(MAX(AF30:OFFSET(AG30,2-EF_Vedligehold_i,0),Tidstabel[[#This Row],[EF_Uds?]])=0,1,0)))</f>
        <v>1</v>
      </c>
      <c r="AG31" s="181">
        <f>IF(Tidstabel[[#This Row],[År]]&gt;Input_Tidshorisont,BlankTegn,0)</f>
        <v>0</v>
      </c>
      <c r="AH31" s="263">
        <f ca="1">IF(Tidstabel[[#This Row],[År]]&gt;Input_Tidshorisont,BlankTegn,
Tidstabel[[#This Row],[EF_Ved?]]*EF_Vedligehold_p*-EF_Enhedspris*((1+Tidstabel[[#This Row],[Kalkulationsrente]])^-Tidstabel[[#This Row],[År]])*((1+PrisudviklingGenerelt)^Tidstabel[[#This Row],[År]]))</f>
        <v>-4.663491716730813</v>
      </c>
      <c r="AI31" s="262">
        <f ca="1">IF(Tidstabel[[#This Row],[År]]&gt;Input_Tidshorisont,BlankTegn,
IF(Tidstabel[[#This Row],[År]]=0,Tidstabel[[#This Row],[EF_Vedligehold]],AI30+Tidstabel[[#This Row],[EF_Vedligehold]]))</f>
        <v>-181.6423340572623</v>
      </c>
      <c r="AJ31" s="245">
        <f>IFERROR(IF(Tidstabel[[#This Row],[År]]&gt;Input_Tidshorisont,BlankTegn,
Tidstabel[[#This Row],[FB_Anskaffelse]]+Tidstabel[[#This Row],[VS_Anskaffelse]]+Tidstabel[[#This Row],[EI_Anskaffelse]]+Tidstabel[[#This Row],[AP_Anskaffelse]]+Tidstabel[[#This Row],[SK_Anskaffelse]]),BlankTegn)</f>
        <v>0</v>
      </c>
      <c r="AK31" s="245" t="str">
        <f>IFERROR(IF(Tidstabel[[#This Row],[År]]&gt;Input_Tidshorisont,BlankTegn,
IF(Tidstabel[[#This Row],[År]]=0,Tidstabel[[#This Row],[KF_Anskaffelse]],AK30+Tidstabel[[#This Row],[KF_Anskaffelse]])),BlankTegn)</f>
        <v>.</v>
      </c>
      <c r="AL31" s="246" t="str">
        <f ca="1">IFERROR(IF(Tidstabel[[#This Row],[År]]&gt;Input_Tidshorisont,BlankTegn,
Tidstabel[[#This Row],[FB_Vedligehold]]+Tidstabel[[#This Row],[VS_Vedligehold]]+Tidstabel[[#This Row],[EI_Vedligehold]]+Tidstabel[[#This Row],[AP_Vedligehold]]+Tidstabel[[#This Row],[SK_Vedligehold]]),BlankTegn)</f>
        <v>.</v>
      </c>
      <c r="AM31" s="245" t="str">
        <f ca="1">IFERROR(IF(Tidstabel[[#This Row],[År]]&gt;Input_Tidshorisont,BlankTegn,
IF(Tidstabel[[#This Row],[År]]=0,Tidstabel[[#This Row],[KF_Vedligehold]],AM30+Tidstabel[[#This Row],[KF_Vedligehold]])),BlankTegn)</f>
        <v>.</v>
      </c>
      <c r="AN31"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31"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31" s="245" t="str">
        <f>IFERROR(IF(Tidstabel[[#This Row],[År]]&gt;Input_Tidshorisont,BlankTegn,
IF(Tidstabel[[#This Row],[År]]=0,Tidstabel[[#This Row],[KF_Udskiftning_Komponent]],AP30+Tidstabel[[#This Row],[KF_Udskiftning_Komponent]])),BlankTegn)</f>
        <v>.</v>
      </c>
      <c r="AQ31" s="245">
        <f>IF(Tidstabel[[#This Row],[År]]&gt;Input_Tidshorisont,BlankTegn,
IF(Tidstabel[[#This Row],[År]]=0,-SUM(Engangsudgifter[Udgift]),0))</f>
        <v>0</v>
      </c>
      <c r="AR31" s="245">
        <f>IFERROR(IF(Tidstabel[[#This Row],[År]]&gt;Input_Tidshorisont,BlankTegn,
IF(Tidstabel[[#This Row],[År]]=0,Tidstabel[[#This Row],[KF_Engangsudgifter]],AR30+Tidstabel[[#This Row],[KF_Engangsudgifter]])),BlankTegn)</f>
        <v>0</v>
      </c>
      <c r="AS31" s="315" t="str">
        <f>IFERROR(IF(Tidstabel[[#This Row],[År]]&gt;Input_Tidshorisont,BlankTegn,
-Energibesparelse_Årlig),BlankTegn)</f>
        <v>.</v>
      </c>
      <c r="AT31" s="245" t="str">
        <f>IFERROR(IF(Tidstabel[[#This Row],[År]]&gt;Input_Tidshorisont,BlankTegn,
IF(Tidstabel[[#This Row],[År]]=0,0,-Tidstabel[[#This Row],[KF_Energiforbrug]]*Input_Fjernvarmepris*((1+Tidstabel[[#This Row],[Kalkulationsrente]])^-Tidstabel[[#This Row],[År]])*((1+PrisudviklingFjernvarme)^Tidstabel[[#This Row],[År]]))),BlankTegn)</f>
        <v>.</v>
      </c>
      <c r="AU31" s="262" t="str">
        <f>IFERROR(IF(Tidstabel[[#This Row],[År]]&gt;Input_Tidshorisont,BlankTegn,
IF(Tidstabel[[#This Row],[År]]=0,Tidstabel[[#This Row],[KF_Forsyning]],AU30+Tidstabel[[#This Row],[KF_Forsyning]])),BlankTegn)</f>
        <v>.</v>
      </c>
      <c r="AV31" s="245">
        <f>IFERROR(IF(Tidstabel[[#This Row],[År]]&gt;Input_Tidshorisont,BlankTegn,
IF(Tidstabel[[#This Row],[År]]=0,-FB_Enhedspris,0)),BlankTegn)</f>
        <v>0</v>
      </c>
      <c r="AW31" s="245" t="str">
        <f>IFERROR(IF(Tidstabel[[#This Row],[År]]&gt;Input_Tidshorisont,BlankTegn,
IF(Tidstabel[[#This Row],[År]]=0,FB_Enhedspris/FB_Levetid,AW30*((1+Tidstabel[[#This Row],[Kalkulationsrente]])^-1)*((1+PrisudviklingGenerelt)^1))),BlankTegn)</f>
        <v>.</v>
      </c>
      <c r="AX31" s="178" t="str">
        <f ca="1">IFERROR(IF(Tidstabel[[#This Row],[År]]&gt;Input_Tidshorisont,BlankTegn,
IF(FB_Vedligehold_i=1,IF(Tidstabel[[#This Row],[FB_Uds?]]=0,1,0),IF(MAX(AX30:OFFSET(AY30,2-FB_Vedligehold_i,0),Tidstabel[[#This Row],[FB_Uds?]])=0,1,0))),BlankTegn)</f>
        <v>.</v>
      </c>
      <c r="AY31" s="178" t="str">
        <f>IFERROR(IF(Tidstabel[[#This Row],[År]]&gt;Input_Tidshorisont,BlankTegn,
IF(Tidstabel[[#This Row],[År]]=0,1,IF(MOD(Tidstabel[[#This Row],[År]],FB_Levetid)=0,1,IF(Tidstabel[[#This Row],[År]]=Input_Tidshorisont,0,0)))),BlankTegn)</f>
        <v>.</v>
      </c>
      <c r="AZ31" s="245" t="str">
        <f ca="1">IFERROR(IF(Tidstabel[[#This Row],[År]]&gt;Input_Tidshorisont,BlankTegn,
FB_Vedligehold_p*-FB_Enhedspris*Tidstabel[[#This Row],[FB_Ved?]]*((1+Tidstabel[[#This Row],[Kalkulationsrente]])^-Tidstabel[[#This Row],[År]])*((1+PrisudviklingGenerelt)^Tidstabel[[#This Row],[År]])),BlankTegn)</f>
        <v>.</v>
      </c>
      <c r="BA31" s="245" t="str">
        <f>IFERROR(IF(Tidstabel[[#This Row],[År]]&gt;Input_Tidshorisont,BlankTegn,
IF(Tidstabel[[#This Row],[År]]=0,FB_Enhedspris,SUM(BA30:BB30)*((1+Tidstabel[[#This Row],[Kalkulationsrente]])^-1)*((1+PrisudviklingGenerelt)^1)-Tidstabel[[#This Row],[FB_Afskrivning]])),BlankTegn)</f>
        <v>.</v>
      </c>
      <c r="BB31" s="245" t="str">
        <f>IFERROR(IF(Tidstabel[[#This Row],[År]]&gt;Input_Tidshorisont,BlankTegn,
IF(Tidstabel[[#This Row],[År]]=0,0,Tidstabel[[#This Row],[FB_Uds?]]*FB_Enhedspris*((1+Tidstabel[[#This Row],[Kalkulationsrente]])^-Tidstabel[[#This Row],[År]])*((1+PrisudviklingGenerelt)^Tidstabel[[#This Row],[År]]))),BlankTegn)</f>
        <v>.</v>
      </c>
      <c r="BC31" s="262" t="str">
        <f>IFERROR(IF(Tidstabel[[#This Row],[År]]&gt;Input_Tidshorisont,BlankTegn,
IF(Tidstabel[[#This Row],[År]]=0,0,Tidstabel[[#This Row],[FB_Uds?]]*-FB_Enhedspris*FB_Genoprettelse*((1+Tidstabel[[#This Row],[Kalkulationsrente]])^-Tidstabel[[#This Row],[År]])*((1+PrisudviklingGenerelt)^Tidstabel[[#This Row],[År]]))),BlankTegn)</f>
        <v>.</v>
      </c>
      <c r="BD31" s="245">
        <f>IFERROR(IF(Tidstabel[[#This Row],[År]]&gt;Input_Tidshorisont,BlankTegn,
IF(Tidstabel[[#This Row],[År]]=0,-VS_Enhedspris,0)),BlankTegn)</f>
        <v>0</v>
      </c>
      <c r="BE31" s="245" t="str">
        <f>IFERROR(IF(Tidstabel[[#This Row],[År]]&gt;Input_Tidshorisont,BlankTegn,
IF(Tidstabel[[#This Row],[År]]=0,VS_Enhedspris/VS_Levetid,BE30*((1+Tidstabel[[#This Row],[Kalkulationsrente]])^-1)*((1+PrisudviklingGenerelt)^1))),BlankTegn)</f>
        <v>.</v>
      </c>
      <c r="BF31" s="178" t="str">
        <f ca="1">IFERROR(IF(Tidstabel[[#This Row],[År]]&gt;Input_Tidshorisont,BlankTegn,
IF(VS_Vedligehold_i=1,IF(Tidstabel[[#This Row],[VS_Uds?]]=0,1,0),IF(MAX(BF30:OFFSET(BG30,2-VS_Vedligehold_i,0),Tidstabel[[#This Row],[VS_Uds?]])=0,1,0))),BlankTegn)</f>
        <v>.</v>
      </c>
      <c r="BG31" s="178" t="str">
        <f>IFERROR(IF(Tidstabel[[#This Row],[År]]&gt;Input_Tidshorisont,BlankTegn,
IF(Tidstabel[[#This Row],[År]]=0,1,IF(MOD(Tidstabel[[#This Row],[År]],VS_Levetid)=0,1,IF(Tidstabel[[#This Row],[År]]=Input_Tidshorisont,0,0)))),BlankTegn)</f>
        <v>.</v>
      </c>
      <c r="BH31" s="245" t="str">
        <f ca="1">IFERROR(IF(Tidstabel[[#This Row],[År]]&gt;Input_Tidshorisont,BlankTegn,
VS_Vedligehold_p*-VS_Enhedspris*Tidstabel[[#This Row],[VS_Ved?]]*((1+Tidstabel[[#This Row],[Kalkulationsrente]])^-Tidstabel[[#This Row],[År]])*((1+PrisudviklingGenerelt)^Tidstabel[[#This Row],[År]])),BlankTegn)</f>
        <v>.</v>
      </c>
      <c r="BI31" s="245" t="str">
        <f>IFERROR(IF(Tidstabel[[#This Row],[År]]&gt;Input_Tidshorisont,BlankTegn,
IF(Tidstabel[[#This Row],[År]]=0,VS_Enhedspris,SUM(BI30:BJ30)*((1+Tidstabel[[#This Row],[Kalkulationsrente]])^-1)*((1+PrisudviklingGenerelt)^1)-Tidstabel[[#This Row],[VS_Afskrivning]])),BlankTegn)</f>
        <v>.</v>
      </c>
      <c r="BJ31" s="245" t="str">
        <f>IFERROR(IF(Tidstabel[[#This Row],[År]]&gt;Input_Tidshorisont,BlankTegn,
IF(Tidstabel[[#This Row],[År]]=0,0,Tidstabel[[#This Row],[VS_Uds?]]*VS_Enhedspris*((1+Tidstabel[[#This Row],[Kalkulationsrente]])^-Tidstabel[[#This Row],[År]])*((1+PrisudviklingGenerelt)^Tidstabel[[#This Row],[År]]))),BlankTegn)</f>
        <v>.</v>
      </c>
      <c r="BK31" s="262" t="str">
        <f>IFERROR(IF(Tidstabel[[#This Row],[År]]&gt;Input_Tidshorisont,BlankTegn,
IF(Tidstabel[[#This Row],[År]]=0,0,Tidstabel[[#This Row],[VS_Uds?]]*-VS_Enhedspris*VS_Genoprettelse*((1+Tidstabel[[#This Row],[Kalkulationsrente]])^-Tidstabel[[#This Row],[År]])*((1+PrisudviklingGenerelt)^Tidstabel[[#This Row],[År]]))),BlankTegn)</f>
        <v>.</v>
      </c>
      <c r="BL31" s="245">
        <f>IFERROR(IF(Tidstabel[[#This Row],[År]]&gt;Input_Tidshorisont,BlankTegn,
IF(Tidstabel[[#This Row],[År]]=0,-EI_Enhedspris,0)),BlankTegn)</f>
        <v>0</v>
      </c>
      <c r="BM31" s="245" t="str">
        <f>IFERROR(IF(Tidstabel[[#This Row],[År]]&gt;Input_Tidshorisont,BlankTegn,
IF(Tidstabel[[#This Row],[År]]=0,EI_Enhedspris/EI_Levetid,BM30*((1+Tidstabel[[#This Row],[Kalkulationsrente]])^-1)*((1+PrisudviklingGenerelt)^1))),BlankTegn)</f>
        <v>.</v>
      </c>
      <c r="BN31" s="178" t="str">
        <f ca="1">IFERROR(IF(Tidstabel[[#This Row],[År]]&gt;Input_Tidshorisont,BlankTegn,
IF(EI_Vedligehold_i=1,IF(Tidstabel[[#This Row],[EI_Uds?]]=0,1,0),IF(MAX(BN30:OFFSET(BO30,2-EI_Vedligehold_i,0),Tidstabel[[#This Row],[EI_Uds?]])=0,1,0))),BlankTegn)</f>
        <v>.</v>
      </c>
      <c r="BO31" s="178" t="str">
        <f>IFERROR(IF(Tidstabel[[#This Row],[År]]&gt;Input_Tidshorisont,BlankTegn,
IF(Tidstabel[[#This Row],[År]]=0,1,IF(MOD(Tidstabel[[#This Row],[År]],EI_Levetid)=0,1,IF(Tidstabel[[#This Row],[År]]=Input_Tidshorisont,0,0)))),BlankTegn)</f>
        <v>.</v>
      </c>
      <c r="BP31" s="245" t="str">
        <f ca="1">IFERROR(IF(Tidstabel[[#This Row],[År]]&gt;Input_Tidshorisont,BlankTegn,
EI_Vedligehold_p*-EI_Enhedspris*Tidstabel[[#This Row],[EI_Ved?]]*((1+Tidstabel[[#This Row],[Kalkulationsrente]])^-Tidstabel[[#This Row],[År]])*((1+PrisudviklingGenerelt)^Tidstabel[[#This Row],[År]])),BlankTegn)</f>
        <v>.</v>
      </c>
      <c r="BQ31" s="245" t="str">
        <f>IFERROR(IF(Tidstabel[[#This Row],[År]]&gt;Input_Tidshorisont,BlankTegn,
IF(Tidstabel[[#This Row],[År]]=0,EI_Enhedspris,SUM(BQ30:BR30)*((1+Tidstabel[[#This Row],[Kalkulationsrente]])^-1)*((1+PrisudviklingGenerelt)^1)-Tidstabel[[#This Row],[EI_Afskrivning]])),BlankTegn)</f>
        <v>.</v>
      </c>
      <c r="BR31" s="245" t="str">
        <f>IFERROR(IF(Tidstabel[[#This Row],[År]]&gt;Input_Tidshorisont,BlankTegn,
IF(Tidstabel[[#This Row],[År]]=0,0,Tidstabel[[#This Row],[EI_Uds?]]*EI_Enhedspris*((1+Tidstabel[[#This Row],[Kalkulationsrente]])^-Tidstabel[[#This Row],[År]])*((1+PrisudviklingGenerelt)^Tidstabel[[#This Row],[År]]))),BlankTegn)</f>
        <v>.</v>
      </c>
      <c r="BS31" s="262" t="str">
        <f>IFERROR(IF(Tidstabel[[#This Row],[År]]&gt;Input_Tidshorisont,BlankTegn,
IF(Tidstabel[[#This Row],[År]]=0,0,Tidstabel[[#This Row],[EI_Uds?]]*-EI_Enhedspris*EI_Genoprettelse*((1+Tidstabel[[#This Row],[Kalkulationsrente]])^-Tidstabel[[#This Row],[År]])*((1+PrisudviklingGenerelt)^Tidstabel[[#This Row],[År]]))),BlankTegn)</f>
        <v>.</v>
      </c>
      <c r="BT31" s="245">
        <f>IFERROR(IF(Tidstabel[[#This Row],[År]]&gt;Input_Tidshorisont,BlankTegn,
IF(Tidstabel[[#This Row],[År]]=0,-AP_Enhedspris,0)),BlankTegn)</f>
        <v>0</v>
      </c>
      <c r="BU31" s="245" t="str">
        <f>IFERROR(IF(Tidstabel[[#This Row],[År]]&gt;Input_Tidshorisont,BlankTegn,
IF(Tidstabel[[#This Row],[År]]=0,AP_Enhedspris/AP_Levetid,BU30*((1+Tidstabel[[#This Row],[Kalkulationsrente]])^-1)*((1+PrisudviklingGenerelt)^1))),BlankTegn)</f>
        <v>.</v>
      </c>
      <c r="BV31" s="178" t="str">
        <f ca="1">IFERROR(IF(Tidstabel[[#This Row],[År]]&gt;Input_Tidshorisont,BlankTegn,
IF(AP_Vedligehold_i=1,IF(Tidstabel[[#This Row],[AP_Uds?]]=0,1,0),IF(MAX(BV30:OFFSET(BW30,2-AP_Vedligehold_i,0),Tidstabel[[#This Row],[AP_Uds?]])=0,1,0))),BlankTegn)</f>
        <v>.</v>
      </c>
      <c r="BW31" s="178" t="str">
        <f>IFERROR(IF(Tidstabel[[#This Row],[År]]&gt;Input_Tidshorisont,BlankTegn,
IF(Tidstabel[[#This Row],[År]]=0,1,IF(MOD(Tidstabel[[#This Row],[År]],AP_Levetid)=0,1,IF(Tidstabel[[#This Row],[År]]=Input_Tidshorisont,0,0)))),BlankTegn)</f>
        <v>.</v>
      </c>
      <c r="BX31" s="245" t="str">
        <f ca="1">IFERROR(IF(Tidstabel[[#This Row],[År]]&gt;Input_Tidshorisont,BlankTegn,
AP_Vedligehold_p*-AP_Enhedspris*Tidstabel[[#This Row],[AP_Ved?]]*((1+Tidstabel[[#This Row],[Kalkulationsrente]])^-Tidstabel[[#This Row],[År]])*((1+PrisudviklingGenerelt)^Tidstabel[[#This Row],[År]])),BlankTegn)</f>
        <v>.</v>
      </c>
      <c r="BY31" s="245" t="str">
        <f>IFERROR(IF(Tidstabel[[#This Row],[År]]&gt;Input_Tidshorisont,BlankTegn,
IF(Tidstabel[[#This Row],[År]]=0,AP_Enhedspris,SUM(BY30:BZ30)*((1+Tidstabel[[#This Row],[Kalkulationsrente]])^-1)*((1+PrisudviklingGenerelt)^1)-Tidstabel[[#This Row],[AP_Afskrivning]])),BlankTegn)</f>
        <v>.</v>
      </c>
      <c r="BZ31" s="245" t="str">
        <f>IFERROR(IF(Tidstabel[[#This Row],[År]]&gt;Input_Tidshorisont,BlankTegn,
IF(Tidstabel[[#This Row],[År]]=0,0,Tidstabel[[#This Row],[AP_Uds?]]*AP_Enhedspris*((1+Tidstabel[[#This Row],[Kalkulationsrente]])^-Tidstabel[[#This Row],[År]])*((1+PrisudviklingGenerelt)^Tidstabel[[#This Row],[År]]))),BlankTegn)</f>
        <v>.</v>
      </c>
      <c r="CA31" s="262" t="str">
        <f>IFERROR(IF(Tidstabel[[#This Row],[År]]&gt;Input_Tidshorisont,BlankTegn,
IF(Tidstabel[[#This Row],[År]]=0,0,Tidstabel[[#This Row],[AP_Uds?]]*-AP_Enhedspris*AP_Genoprettelse*((1+Tidstabel[[#This Row],[Kalkulationsrente]])^-Tidstabel[[#This Row],[År]])*((1+PrisudviklingGenerelt)^Tidstabel[[#This Row],[År]]))),BlankTegn)</f>
        <v>.</v>
      </c>
      <c r="CB31" s="245">
        <f>IFERROR(IF(Tidstabel[[#This Row],[År]]&gt;Input_Tidshorisont,BlankTegn,
IF(Tidstabel[[#This Row],[År]]=0,-SK_Enhedspris,0)),BlankTegn)</f>
        <v>0</v>
      </c>
      <c r="CC31" s="245" t="str">
        <f>IFERROR(IF(Tidstabel[[#This Row],[År]]&gt;Input_Tidshorisont,BlankTegn,
IF(Tidstabel[[#This Row],[År]]=0,SK_Enhedspris/SK_Levetid,CC30*((1+Tidstabel[[#This Row],[Kalkulationsrente]])^-1)*((1+PrisudviklingGenerelt)^1))),BlankTegn)</f>
        <v>.</v>
      </c>
      <c r="CD31" s="178" t="str">
        <f ca="1">IFERROR(IF(Tidstabel[[#This Row],[År]]&gt;Input_Tidshorisont,BlankTegn,
IF(SK_Vedligehold_i=1,IF(Tidstabel[[#This Row],[SK_Uds?]]=0,1,0),IF(MAX(CD30:OFFSET(CE30,2-SK_Vedligehold_i,0),Tidstabel[[#This Row],[SK_Uds?]])=0,1,0))),BlankTegn)</f>
        <v>.</v>
      </c>
      <c r="CE31" s="178" t="str">
        <f>IFERROR(IF(Tidstabel[[#This Row],[År]]&gt;Input_Tidshorisont,BlankTegn,
IF(Tidstabel[[#This Row],[År]]=0,1,IF(MOD(Tidstabel[[#This Row],[År]],SK_Levetid)=0,1,IF(Tidstabel[[#This Row],[År]]=Input_Tidshorisont,0,0)))),BlankTegn)</f>
        <v>.</v>
      </c>
      <c r="CF31" s="245" t="str">
        <f ca="1">IFERROR(IF(Tidstabel[[#This Row],[År]]&gt;Input_Tidshorisont,BlankTegn,
SK_Vedligehold_p*-SK_Enhedspris*Tidstabel[[#This Row],[SK_Ved?]]*((1+Tidstabel[[#This Row],[Kalkulationsrente]])^-Tidstabel[[#This Row],[År]])*((1+PrisudviklingGenerelt)^Tidstabel[[#This Row],[År]])),BlankTegn)</f>
        <v>.</v>
      </c>
      <c r="CG31" s="245" t="str">
        <f>IFERROR(IF(Tidstabel[[#This Row],[År]]&gt;Input_Tidshorisont,BlankTegn,
IF(Tidstabel[[#This Row],[År]]=0,SK_Enhedspris,SUM(CG30:CH30)*((1+Tidstabel[[#This Row],[Kalkulationsrente]])^-1)*((1+PrisudviklingGenerelt)^1)-Tidstabel[[#This Row],[SK_Afskrivning]])),BlankTegn)</f>
        <v>.</v>
      </c>
      <c r="CH31" s="245" t="str">
        <f>IFERROR(IF(Tidstabel[[#This Row],[År]]&gt;Input_Tidshorisont,BlankTegn,
IF(Tidstabel[[#This Row],[År]]=0,0,Tidstabel[[#This Row],[SK_Uds?]]*SK_Enhedspris*((1+Tidstabel[[#This Row],[Kalkulationsrente]])^-Tidstabel[[#This Row],[År]])*((1+PrisudviklingGenerelt)^Tidstabel[[#This Row],[År]]))),BlankTegn)</f>
        <v>.</v>
      </c>
      <c r="CI31" s="262" t="str">
        <f>IFERROR(IF(Tidstabel[[#This Row],[År]]&gt;Input_Tidshorisont,BlankTegn,
IF(Tidstabel[[#This Row],[År]]=0,0,Tidstabel[[#This Row],[SK_Uds?]]*-SK_Enhedspris*SK_Genoprettelse*((1+Tidstabel[[#This Row],[Kalkulationsrente]])^-Tidstabel[[#This Row],[År]])*((1+PrisudviklingGenerelt)^Tidstabel[[#This Row],[År]]))),BlankTegn)</f>
        <v>.</v>
      </c>
      <c r="CJ31" s="19"/>
    </row>
    <row r="32" spans="1:88">
      <c r="A32" s="250">
        <v>25</v>
      </c>
      <c r="B32" s="250">
        <f>Input_Etableringsår+Tidstabel[[#This Row],[År]]</f>
        <v>2049</v>
      </c>
      <c r="C32" s="274" cm="1">
        <f t="array" ref="C32">_xlfn.IFS(Tidstabel[[#This Row],[År]]&gt;KR_Trin3_Tærskel,KR_Trin3_Rente,Tidstabel[[#This Row],[År]]&gt;KR_Trin2_Tærskel,KR_Trin2_Rente,Tidstabel[[#This Row],[År]]&gt;KR_Trin1_Tærskel,KR_Trin1_Rente,Tidstabel[[#This Row],[År]]&gt;KR_Trin0_Tærskel,KR_Trin0_Rente)</f>
        <v>3.5000000000000003E-2</v>
      </c>
      <c r="D32" s="142" t="str" cm="1">
        <f t="array" ref="D32">IFERROR(
INDEX(Range_Materiale_ÅrligeEmissioner,MATCH(1,(Materialedata[Komponent]=FB_Titel)*(Materialedata[Materiale]=FB_Materiale),0),MATCH(Tidstabel[[#This Row],[År]],Range_Materiale_År,0)),BlankTegn)</f>
        <v>.</v>
      </c>
      <c r="E32" s="142" t="str" cm="1">
        <f t="array" ref="E32">IFERROR(
INDEX(Range_Materiale_ÅrligeEmissioner,MATCH(1,(Materialedata[Komponent]=SK_Titel)*(Materialedata[Materiale]=SK_Materiale),0),MATCH(Tidstabel[[#This Row],[År]],Range_Materiale_År,0)),BlankTegn)</f>
        <v>.</v>
      </c>
      <c r="F32" s="142" t="str" cm="1">
        <f t="array" ref="F32">IFERROR(
INDEX(Range_Materiale_ÅrligeEmissioner,MATCH(1,(Materialedata[Komponent]=EI_Titel)*(Materialedata[Materiale]=EI_Materiale),0),MATCH(Tidstabel[[#This Row],[År]],Range_Materiale_År,0)),BlankTegn)</f>
        <v>.</v>
      </c>
      <c r="G32" s="142" t="str" cm="1">
        <f t="array" ref="G32">IFERROR(
INDEX(Range_Materiale_ÅrligeEmissioner,MATCH(1,(Materialedata[Komponent]=AP_Titel)*(Materialedata[Materiale]=AP_Materiale),0),MATCH(Tidstabel[[#This Row],[År]],Range_Materiale_År,0)),BlankTegn)</f>
        <v>.</v>
      </c>
      <c r="H32" s="142" t="str" cm="1">
        <f t="array" ref="H32">IFERROR(
INDEX(Range_Materiale_ÅrligeEmissioner,MATCH(1,(Materialedata[Komponent]=VS_Titel)*(Materialedata[Materiale]=VS_Materiale),0),MATCH(Tidstabel[[#This Row],[År]],Range_Materiale_År,0)),BlankTegn)</f>
        <v>.</v>
      </c>
      <c r="I32" s="142" t="str">
        <f>IFERROR(
IF(SUM(Tidstabel[[#This Row],[Facadebeklædning]:[Vindspærre]])=0,BlankTegn,
SUM(Tidstabel[[#This Row],[Facadebeklædning]:[Vindspærre]])),BlankTegn)</f>
        <v>.</v>
      </c>
      <c r="J32" s="139">
        <f>IF(Tidstabel[[#This Row],[År]]&gt;Input_Tidshorisont,BlankTegn,
A5_ElVarmeBrændstofByggeplads)</f>
        <v>0.25</v>
      </c>
      <c r="K32" s="142" t="str">
        <f>IFERROR(IF(Tidstabel[[#This Row],[År]]&gt;Input_Tidshorisont,BlankTegn,
-1*INDEX(Range_Energi_ÅrligBesparelse,MATCH(Input_EksisterendeFacade,Energiberegning[Ydervæg],0),MATCH(Tidstabel[[#This Row],[Årstal]],Range_Energi_Årstal,0))),BlankTegn)</f>
        <v>.</v>
      </c>
      <c r="L32" s="142">
        <f>IF(Tidstabel[[#This Row],[År]]&gt;Input_Tidshorisont,BlankTegn,
(Tidstabel[[#This Row],[År]]+1)*(SUM(Vedligeholdelsesmaterialer[Facadefarve],Vedligeholdelsesmaterialer[Grunder og mellemmaling])/12+SUM(Vedligeholdelsesmaterialer[Puds])/30))</f>
        <v>8.4462114316666668</v>
      </c>
      <c r="M32" s="142" t="str">
        <f>IFERROR(IF(Tidstabel[[#This Row],[År]]&gt;Input_Tidshorisont,BlankTegn,
Tidstabel[[#This Row],[Materialer_Total]]+Tidstabel[[#This Row],[Byggeprocess]]),BlankTegn)</f>
        <v>.</v>
      </c>
      <c r="N32" s="142" t="str">
        <f>IFERROR(IF(Tidstabel[[#This Row],[År]]&gt;Input_Tidshorisont,BlankTegn,
Tidstabel[[#This Row],[Energibesparelse]]+Tidstabel[[#This Row],[Emission_Brutto]]),BlankTegn)</f>
        <v>.</v>
      </c>
      <c r="O32" s="142" t="str">
        <f>IFERROR(IF(Tidstabel[[#This Row],[År]]&gt;Input_Tidshorisont,BlankTegn,
Tidstabel[[#This Row],[Emission_Netto]]-Tidstabel[[#This Row],[Vedligehold_EksisterendeFacade]]),BlankTegn)</f>
        <v>.</v>
      </c>
      <c r="P32" s="271" t="str">
        <f>IFERROR(IF(Tidstabel[[#This Row],[År]]&gt;Input_Tidshorisont,BlankTegn,
IF(AND(Tidstabel[[#This Row],[Emission_Netto]]-Tidstabel[[#This Row],[Vedligehold_EksisterendeFacade]]&gt;0,N33-L33&lt;0),-1,IF(AND(Tidstabel[[#This Row],[Emission_Netto]]-Tidstabel[[#This Row],[Vedligehold_EksisterendeFacade]]&lt;0,N33-L33&gt;0),1,0))),BlankTegn)</f>
        <v>.</v>
      </c>
      <c r="Q32" s="174" t="str">
        <f>IF(Tidstabel[[#This Row],[År]]&gt;Input_Tidshorisont,BlankTegn,
IF(Tidstabel[[#This Row],[LCA-Skæring]]=-1,SUM(Tidstabel[[#This Row],[År]]*(1-ABS(Tidstabel[[#This Row],[LCA-Difference]])/(ABS(Tidstabel[[#This Row],[LCA-Difference]])+ABS(O33))),A33*(1-ABS(O33)/(ABS(Tidstabel[[#This Row],[LCA-Difference]])+ABS(O33)))),"-"))</f>
        <v>-</v>
      </c>
      <c r="R32" s="174" t="str">
        <f>IF(Tidstabel[[#This Row],[År]]&gt;Input_Tidshorisont,BlankTegn,
IF(Tidstabel[[#This Row],[LCA-Skæring]]=-1,SUM(Tidstabel[[#This Row],[Emission_Netto]]*(1-ABS(Tidstabel[[#This Row],[LCA-Difference]])/(ABS(Tidstabel[[#This Row],[LCA-Difference]])+ABS(O33))),N33*(1-ABS(O33)/(ABS(Tidstabel[[#This Row],[LCA-Difference]])+ABS(O33)))),"-"))</f>
        <v>-</v>
      </c>
      <c r="S32" s="174" t="str">
        <f>IF(Tidstabel[[#This Row],[År]]&gt;Input_Tidshorisont,BlankTegn,
IF(Tidstabel[[#This Row],[LCA-Skæring]]=1,SUM(Tidstabel[[#This Row],[År]]*(1-ABS(Tidstabel[[#This Row],[LCA-Difference]])/(ABS(Tidstabel[[#This Row],[LCA-Difference]])+ABS(O33))),A33*(1-ABS(O33)/(ABS(Tidstabel[[#This Row],[LCA-Difference]])+ABS(O33)))),"-"))</f>
        <v>-</v>
      </c>
      <c r="T32" s="264" t="str">
        <f>IF(Tidstabel[[#This Row],[År]]&gt;Input_Tidshorisont,BlankTegn,
IF(Tidstabel[[#This Row],[LCA-Skæring]]=1,SUM(Tidstabel[[#This Row],[Emission_Netto]]*(1-ABS(Tidstabel[[#This Row],[LCA-Difference]])/(ABS(Tidstabel[[#This Row],[LCA-Difference]])+ABS(O33))),N33*(1-ABS(O33)/(ABS(Tidstabel[[#This Row],[LCA-Difference]])+ABS(O33)))),"-"))</f>
        <v>-</v>
      </c>
      <c r="U32" s="142" t="str">
        <f ca="1">IFERROR(IF(Tidstabel[[#This Row],[År]]&gt;Input_Tidshorisont,BlankTegn,
Tidstabel[[#This Row],[NPV_Klimafacade]]-Tidstabel[[#This Row],[NPV_Eksisterende]]),BlankTegn)</f>
        <v>.</v>
      </c>
      <c r="V32" s="271" t="str">
        <f ca="1">IFERROR(IF(Tidstabel[[#This Row],[År]]&gt;Input_Tidshorisont,BlankTegn,
IF(AND(Tidstabel[[#This Row],[NPV_Klimafacade]]-Tidstabel[[#This Row],[NPV_Eksisterende]]&gt;0,AB33-AA33&lt;0),1,IF(AND(Tidstabel[[#This Row],[NPV_Klimafacade]]-Tidstabel[[#This Row],[NPV_Eksisterende]]&lt;0,AB33-AA33&gt;0),-1,0))),BlankTegn)</f>
        <v>.</v>
      </c>
      <c r="W32" s="174" t="str">
        <f ca="1">IF(Tidstabel[[#This Row],[År]]&gt;Input_Tidshorisont,BlankTegn,
IF(Tidstabel[[#This Row],[LCC-Skæring]]=-1,SUM(Tidstabel[[#This Row],[År]]*(1-ABS(Tidstabel[[#This Row],[LCC-Difference]])/(ABS(Tidstabel[[#This Row],[LCC-Difference]])+ABS(U33))),A33*(1-ABS(U33)/(ABS(Tidstabel[[#This Row],[LCC-Difference]])+ABS(U33)))),"-"))</f>
        <v>-</v>
      </c>
      <c r="X32" s="174" t="str">
        <f ca="1">IF(Tidstabel[[#This Row],[År]]&gt;Input_Tidshorisont,BlankTegn,
IF(Tidstabel[[#This Row],[LCC-Skæring]]=-1,SUM(Tidstabel[[#This Row],[NPV_Klimafacade]]*(1-ABS(Tidstabel[[#This Row],[LCC-Difference]])/(ABS(Tidstabel[[#This Row],[LCC-Difference]])+ABS(U33))),AB33*(1-ABS(U33)/(ABS(Tidstabel[[#This Row],[LCC-Difference]])+ABS(U33)))),"-"))</f>
        <v>-</v>
      </c>
      <c r="Y32" s="174" t="str">
        <f ca="1">IF(Tidstabel[[#This Row],[År]]&gt;Input_Tidshorisont,BlankTegn,
IF(Tidstabel[[#This Row],[LCC-Skæring]]=1,SUM(Tidstabel[[#This Row],[År]]*(1-ABS(Tidstabel[[#This Row],[LCC-Difference]])/(ABS(Tidstabel[[#This Row],[LCC-Difference]])+ABS(U33))),A33*(1-ABS(U33)/(ABS(Tidstabel[[#This Row],[LCC-Difference]])+ABS(U33)))),"-"))</f>
        <v>-</v>
      </c>
      <c r="Z32" s="264" t="str">
        <f ca="1">IF(Tidstabel[[#This Row],[År]]&gt;Input_Tidshorisont,BlankTegn,
IF(Tidstabel[[#This Row],[LCC-Skæring]]=1,SUM(Tidstabel[[#This Row],[NPV_Klimafacade]]*(1-ABS(Tidstabel[[#This Row],[LCC-Difference]])/(ABS(Tidstabel[[#This Row],[LCC-Difference]])+ABS(U33))),AB33*(1-ABS(U33)/(ABS(Tidstabel[[#This Row],[LCC-Difference]])+ABS(U33)))),"-"))</f>
        <v>-</v>
      </c>
      <c r="AA32" s="142">
        <f ca="1">IF(Tidstabel[[#This Row],[År]]&gt;Input_Tidshorisont,BlankTegn,
Tidstabel[[#This Row],[EF_Vedligehold_Aggregeret]])</f>
        <v>-186.14812315555295</v>
      </c>
      <c r="AB32"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32" s="142" t="str">
        <f>IFERROR(IF(Tidstabel[[#This Row],[År]]&gt;Input_Tidshorisont,BlankTegn,
Tidstabel[[#This Row],[KF_Anskaffelse_Aggregeret]]+Tidstabel[[#This Row],[KF_Engangsudgifter_Aggregeret]]),BlankTegn)</f>
        <v>.</v>
      </c>
      <c r="AD32" s="174">
        <f ca="1">IFERROR(IF(Tidstabel[[#This Row],[År]]&gt;Input_Tidshorisont,BlankTegn,
IF(Tidstabel[[#This Row],[År]]=0,0,Tidstabel[[#This Row],[NPV_Eksisterende]]*(Tidstabel[[#This Row],[Kalkulationsrente]]/(1-(1+Tidstabel[[#This Row],[Kalkulationsrente]])^-Tidstabel[[#This Row],[År]])))),BlankTegn)</f>
        <v>-11.294357816039387</v>
      </c>
      <c r="AE32" s="264" t="str">
        <f ca="1">IFERROR(IF(Tidstabel[[#This Row],[År]]&gt;Input_Tidshorisont,BlankTegn,
IF(Tidstabel[[#This Row],[År]]=0,0,Tidstabel[[#This Row],[NPV_Klimafacade]]*(Tidstabel[[#This Row],[Kalkulationsrente]]/(1-(1+Tidstabel[[#This Row],[Kalkulationsrente]])^-Tidstabel[[#This Row],[År]])))),BlankTegn)</f>
        <v>.</v>
      </c>
      <c r="AF32" s="270">
        <f ca="1">IF(Tidstabel[[#This Row],[År]]&gt;Input_Tidshorisont,BlankTegn,
IF(EF_Vedligehold_i=1,IF(Tidstabel[[#This Row],[EF_Uds?]]=0,1,0),IF(MAX(AF31:OFFSET(AG31,2-EF_Vedligehold_i,0),Tidstabel[[#This Row],[EF_Uds?]])=0,1,0)))</f>
        <v>1</v>
      </c>
      <c r="AG32" s="181">
        <f>IF(Tidstabel[[#This Row],[År]]&gt;Input_Tidshorisont,BlankTegn,0)</f>
        <v>0</v>
      </c>
      <c r="AH32" s="263">
        <f ca="1">IF(Tidstabel[[#This Row],[År]]&gt;Input_Tidshorisont,BlankTegn,
Tidstabel[[#This Row],[EF_Ved?]]*EF_Vedligehold_p*-EF_Enhedspris*((1+Tidstabel[[#This Row],[Kalkulationsrente]])^-Tidstabel[[#This Row],[År]])*((1+PrisudviklingGenerelt)^Tidstabel[[#This Row],[År]]))</f>
        <v>-4.5057890982906406</v>
      </c>
      <c r="AI32" s="262">
        <f ca="1">IF(Tidstabel[[#This Row],[År]]&gt;Input_Tidshorisont,BlankTegn,
IF(Tidstabel[[#This Row],[År]]=0,Tidstabel[[#This Row],[EF_Vedligehold]],AI31+Tidstabel[[#This Row],[EF_Vedligehold]]))</f>
        <v>-186.14812315555295</v>
      </c>
      <c r="AJ32" s="245">
        <f>IFERROR(IF(Tidstabel[[#This Row],[År]]&gt;Input_Tidshorisont,BlankTegn,
Tidstabel[[#This Row],[FB_Anskaffelse]]+Tidstabel[[#This Row],[VS_Anskaffelse]]+Tidstabel[[#This Row],[EI_Anskaffelse]]+Tidstabel[[#This Row],[AP_Anskaffelse]]+Tidstabel[[#This Row],[SK_Anskaffelse]]),BlankTegn)</f>
        <v>0</v>
      </c>
      <c r="AK32" s="245" t="str">
        <f>IFERROR(IF(Tidstabel[[#This Row],[År]]&gt;Input_Tidshorisont,BlankTegn,
IF(Tidstabel[[#This Row],[År]]=0,Tidstabel[[#This Row],[KF_Anskaffelse]],AK31+Tidstabel[[#This Row],[KF_Anskaffelse]])),BlankTegn)</f>
        <v>.</v>
      </c>
      <c r="AL32" s="246" t="str">
        <f ca="1">IFERROR(IF(Tidstabel[[#This Row],[År]]&gt;Input_Tidshorisont,BlankTegn,
Tidstabel[[#This Row],[FB_Vedligehold]]+Tidstabel[[#This Row],[VS_Vedligehold]]+Tidstabel[[#This Row],[EI_Vedligehold]]+Tidstabel[[#This Row],[AP_Vedligehold]]+Tidstabel[[#This Row],[SK_Vedligehold]]),BlankTegn)</f>
        <v>.</v>
      </c>
      <c r="AM32" s="245" t="str">
        <f ca="1">IFERROR(IF(Tidstabel[[#This Row],[År]]&gt;Input_Tidshorisont,BlankTegn,
IF(Tidstabel[[#This Row],[År]]=0,Tidstabel[[#This Row],[KF_Vedligehold]],AM31+Tidstabel[[#This Row],[KF_Vedligehold]])),BlankTegn)</f>
        <v>.</v>
      </c>
      <c r="AN32"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32"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32" s="245" t="str">
        <f>IFERROR(IF(Tidstabel[[#This Row],[År]]&gt;Input_Tidshorisont,BlankTegn,
IF(Tidstabel[[#This Row],[År]]=0,Tidstabel[[#This Row],[KF_Udskiftning_Komponent]],AP31+Tidstabel[[#This Row],[KF_Udskiftning_Komponent]])),BlankTegn)</f>
        <v>.</v>
      </c>
      <c r="AQ32" s="245">
        <f>IF(Tidstabel[[#This Row],[År]]&gt;Input_Tidshorisont,BlankTegn,
IF(Tidstabel[[#This Row],[År]]=0,-SUM(Engangsudgifter[Udgift]),0))</f>
        <v>0</v>
      </c>
      <c r="AR32" s="245">
        <f>IFERROR(IF(Tidstabel[[#This Row],[År]]&gt;Input_Tidshorisont,BlankTegn,
IF(Tidstabel[[#This Row],[År]]=0,Tidstabel[[#This Row],[KF_Engangsudgifter]],AR31+Tidstabel[[#This Row],[KF_Engangsudgifter]])),BlankTegn)</f>
        <v>0</v>
      </c>
      <c r="AS32" s="315" t="str">
        <f>IFERROR(IF(Tidstabel[[#This Row],[År]]&gt;Input_Tidshorisont,BlankTegn,
-Energibesparelse_Årlig),BlankTegn)</f>
        <v>.</v>
      </c>
      <c r="AT32" s="245" t="str">
        <f>IFERROR(IF(Tidstabel[[#This Row],[År]]&gt;Input_Tidshorisont,BlankTegn,
IF(Tidstabel[[#This Row],[År]]=0,0,-Tidstabel[[#This Row],[KF_Energiforbrug]]*Input_Fjernvarmepris*((1+Tidstabel[[#This Row],[Kalkulationsrente]])^-Tidstabel[[#This Row],[År]])*((1+PrisudviklingFjernvarme)^Tidstabel[[#This Row],[År]]))),BlankTegn)</f>
        <v>.</v>
      </c>
      <c r="AU32" s="262" t="str">
        <f>IFERROR(IF(Tidstabel[[#This Row],[År]]&gt;Input_Tidshorisont,BlankTegn,
IF(Tidstabel[[#This Row],[År]]=0,Tidstabel[[#This Row],[KF_Forsyning]],AU31+Tidstabel[[#This Row],[KF_Forsyning]])),BlankTegn)</f>
        <v>.</v>
      </c>
      <c r="AV32" s="245">
        <f>IFERROR(IF(Tidstabel[[#This Row],[År]]&gt;Input_Tidshorisont,BlankTegn,
IF(Tidstabel[[#This Row],[År]]=0,-FB_Enhedspris,0)),BlankTegn)</f>
        <v>0</v>
      </c>
      <c r="AW32" s="245" t="str">
        <f>IFERROR(IF(Tidstabel[[#This Row],[År]]&gt;Input_Tidshorisont,BlankTegn,
IF(Tidstabel[[#This Row],[År]]=0,FB_Enhedspris/FB_Levetid,AW31*((1+Tidstabel[[#This Row],[Kalkulationsrente]])^-1)*((1+PrisudviklingGenerelt)^1))),BlankTegn)</f>
        <v>.</v>
      </c>
      <c r="AX32" s="178" t="str">
        <f ca="1">IFERROR(IF(Tidstabel[[#This Row],[År]]&gt;Input_Tidshorisont,BlankTegn,
IF(FB_Vedligehold_i=1,IF(Tidstabel[[#This Row],[FB_Uds?]]=0,1,0),IF(MAX(AX31:OFFSET(AY31,2-FB_Vedligehold_i,0),Tidstabel[[#This Row],[FB_Uds?]])=0,1,0))),BlankTegn)</f>
        <v>.</v>
      </c>
      <c r="AY32" s="178" t="str">
        <f>IFERROR(IF(Tidstabel[[#This Row],[År]]&gt;Input_Tidshorisont,BlankTegn,
IF(Tidstabel[[#This Row],[År]]=0,1,IF(MOD(Tidstabel[[#This Row],[År]],FB_Levetid)=0,1,IF(Tidstabel[[#This Row],[År]]=Input_Tidshorisont,0,0)))),BlankTegn)</f>
        <v>.</v>
      </c>
      <c r="AZ32" s="245" t="str">
        <f ca="1">IFERROR(IF(Tidstabel[[#This Row],[År]]&gt;Input_Tidshorisont,BlankTegn,
FB_Vedligehold_p*-FB_Enhedspris*Tidstabel[[#This Row],[FB_Ved?]]*((1+Tidstabel[[#This Row],[Kalkulationsrente]])^-Tidstabel[[#This Row],[År]])*((1+PrisudviklingGenerelt)^Tidstabel[[#This Row],[År]])),BlankTegn)</f>
        <v>.</v>
      </c>
      <c r="BA32" s="245" t="str">
        <f>IFERROR(IF(Tidstabel[[#This Row],[År]]&gt;Input_Tidshorisont,BlankTegn,
IF(Tidstabel[[#This Row],[År]]=0,FB_Enhedspris,SUM(BA31:BB31)*((1+Tidstabel[[#This Row],[Kalkulationsrente]])^-1)*((1+PrisudviklingGenerelt)^1)-Tidstabel[[#This Row],[FB_Afskrivning]])),BlankTegn)</f>
        <v>.</v>
      </c>
      <c r="BB32" s="245" t="str">
        <f>IFERROR(IF(Tidstabel[[#This Row],[År]]&gt;Input_Tidshorisont,BlankTegn,
IF(Tidstabel[[#This Row],[År]]=0,0,Tidstabel[[#This Row],[FB_Uds?]]*FB_Enhedspris*((1+Tidstabel[[#This Row],[Kalkulationsrente]])^-Tidstabel[[#This Row],[År]])*((1+PrisudviklingGenerelt)^Tidstabel[[#This Row],[År]]))),BlankTegn)</f>
        <v>.</v>
      </c>
      <c r="BC32" s="262" t="str">
        <f>IFERROR(IF(Tidstabel[[#This Row],[År]]&gt;Input_Tidshorisont,BlankTegn,
IF(Tidstabel[[#This Row],[År]]=0,0,Tidstabel[[#This Row],[FB_Uds?]]*-FB_Enhedspris*FB_Genoprettelse*((1+Tidstabel[[#This Row],[Kalkulationsrente]])^-Tidstabel[[#This Row],[År]])*((1+PrisudviklingGenerelt)^Tidstabel[[#This Row],[År]]))),BlankTegn)</f>
        <v>.</v>
      </c>
      <c r="BD32" s="245">
        <f>IFERROR(IF(Tidstabel[[#This Row],[År]]&gt;Input_Tidshorisont,BlankTegn,
IF(Tidstabel[[#This Row],[År]]=0,-VS_Enhedspris,0)),BlankTegn)</f>
        <v>0</v>
      </c>
      <c r="BE32" s="245" t="str">
        <f>IFERROR(IF(Tidstabel[[#This Row],[År]]&gt;Input_Tidshorisont,BlankTegn,
IF(Tidstabel[[#This Row],[År]]=0,VS_Enhedspris/VS_Levetid,BE31*((1+Tidstabel[[#This Row],[Kalkulationsrente]])^-1)*((1+PrisudviklingGenerelt)^1))),BlankTegn)</f>
        <v>.</v>
      </c>
      <c r="BF32" s="178" t="str">
        <f ca="1">IFERROR(IF(Tidstabel[[#This Row],[År]]&gt;Input_Tidshorisont,BlankTegn,
IF(VS_Vedligehold_i=1,IF(Tidstabel[[#This Row],[VS_Uds?]]=0,1,0),IF(MAX(BF31:OFFSET(BG31,2-VS_Vedligehold_i,0),Tidstabel[[#This Row],[VS_Uds?]])=0,1,0))),BlankTegn)</f>
        <v>.</v>
      </c>
      <c r="BG32" s="178" t="str">
        <f>IFERROR(IF(Tidstabel[[#This Row],[År]]&gt;Input_Tidshorisont,BlankTegn,
IF(Tidstabel[[#This Row],[År]]=0,1,IF(MOD(Tidstabel[[#This Row],[År]],VS_Levetid)=0,1,IF(Tidstabel[[#This Row],[År]]=Input_Tidshorisont,0,0)))),BlankTegn)</f>
        <v>.</v>
      </c>
      <c r="BH32" s="245" t="str">
        <f ca="1">IFERROR(IF(Tidstabel[[#This Row],[År]]&gt;Input_Tidshorisont,BlankTegn,
VS_Vedligehold_p*-VS_Enhedspris*Tidstabel[[#This Row],[VS_Ved?]]*((1+Tidstabel[[#This Row],[Kalkulationsrente]])^-Tidstabel[[#This Row],[År]])*((1+PrisudviklingGenerelt)^Tidstabel[[#This Row],[År]])),BlankTegn)</f>
        <v>.</v>
      </c>
      <c r="BI32" s="245" t="str">
        <f>IFERROR(IF(Tidstabel[[#This Row],[År]]&gt;Input_Tidshorisont,BlankTegn,
IF(Tidstabel[[#This Row],[År]]=0,VS_Enhedspris,SUM(BI31:BJ31)*((1+Tidstabel[[#This Row],[Kalkulationsrente]])^-1)*((1+PrisudviklingGenerelt)^1)-Tidstabel[[#This Row],[VS_Afskrivning]])),BlankTegn)</f>
        <v>.</v>
      </c>
      <c r="BJ32" s="245" t="str">
        <f>IFERROR(IF(Tidstabel[[#This Row],[År]]&gt;Input_Tidshorisont,BlankTegn,
IF(Tidstabel[[#This Row],[År]]=0,0,Tidstabel[[#This Row],[VS_Uds?]]*VS_Enhedspris*((1+Tidstabel[[#This Row],[Kalkulationsrente]])^-Tidstabel[[#This Row],[År]])*((1+PrisudviklingGenerelt)^Tidstabel[[#This Row],[År]]))),BlankTegn)</f>
        <v>.</v>
      </c>
      <c r="BK32" s="262" t="str">
        <f>IFERROR(IF(Tidstabel[[#This Row],[År]]&gt;Input_Tidshorisont,BlankTegn,
IF(Tidstabel[[#This Row],[År]]=0,0,Tidstabel[[#This Row],[VS_Uds?]]*-VS_Enhedspris*VS_Genoprettelse*((1+Tidstabel[[#This Row],[Kalkulationsrente]])^-Tidstabel[[#This Row],[År]])*((1+PrisudviklingGenerelt)^Tidstabel[[#This Row],[År]]))),BlankTegn)</f>
        <v>.</v>
      </c>
      <c r="BL32" s="245">
        <f>IFERROR(IF(Tidstabel[[#This Row],[År]]&gt;Input_Tidshorisont,BlankTegn,
IF(Tidstabel[[#This Row],[År]]=0,-EI_Enhedspris,0)),BlankTegn)</f>
        <v>0</v>
      </c>
      <c r="BM32" s="245" t="str">
        <f>IFERROR(IF(Tidstabel[[#This Row],[År]]&gt;Input_Tidshorisont,BlankTegn,
IF(Tidstabel[[#This Row],[År]]=0,EI_Enhedspris/EI_Levetid,BM31*((1+Tidstabel[[#This Row],[Kalkulationsrente]])^-1)*((1+PrisudviklingGenerelt)^1))),BlankTegn)</f>
        <v>.</v>
      </c>
      <c r="BN32" s="178" t="str">
        <f ca="1">IFERROR(IF(Tidstabel[[#This Row],[År]]&gt;Input_Tidshorisont,BlankTegn,
IF(EI_Vedligehold_i=1,IF(Tidstabel[[#This Row],[EI_Uds?]]=0,1,0),IF(MAX(BN31:OFFSET(BO31,2-EI_Vedligehold_i,0),Tidstabel[[#This Row],[EI_Uds?]])=0,1,0))),BlankTegn)</f>
        <v>.</v>
      </c>
      <c r="BO32" s="178" t="str">
        <f>IFERROR(IF(Tidstabel[[#This Row],[År]]&gt;Input_Tidshorisont,BlankTegn,
IF(Tidstabel[[#This Row],[År]]=0,1,IF(MOD(Tidstabel[[#This Row],[År]],EI_Levetid)=0,1,IF(Tidstabel[[#This Row],[År]]=Input_Tidshorisont,0,0)))),BlankTegn)</f>
        <v>.</v>
      </c>
      <c r="BP32" s="245" t="str">
        <f ca="1">IFERROR(IF(Tidstabel[[#This Row],[År]]&gt;Input_Tidshorisont,BlankTegn,
EI_Vedligehold_p*-EI_Enhedspris*Tidstabel[[#This Row],[EI_Ved?]]*((1+Tidstabel[[#This Row],[Kalkulationsrente]])^-Tidstabel[[#This Row],[År]])*((1+PrisudviklingGenerelt)^Tidstabel[[#This Row],[År]])),BlankTegn)</f>
        <v>.</v>
      </c>
      <c r="BQ32" s="245" t="str">
        <f>IFERROR(IF(Tidstabel[[#This Row],[År]]&gt;Input_Tidshorisont,BlankTegn,
IF(Tidstabel[[#This Row],[År]]=0,EI_Enhedspris,SUM(BQ31:BR31)*((1+Tidstabel[[#This Row],[Kalkulationsrente]])^-1)*((1+PrisudviklingGenerelt)^1)-Tidstabel[[#This Row],[EI_Afskrivning]])),BlankTegn)</f>
        <v>.</v>
      </c>
      <c r="BR32" s="245" t="str">
        <f>IFERROR(IF(Tidstabel[[#This Row],[År]]&gt;Input_Tidshorisont,BlankTegn,
IF(Tidstabel[[#This Row],[År]]=0,0,Tidstabel[[#This Row],[EI_Uds?]]*EI_Enhedspris*((1+Tidstabel[[#This Row],[Kalkulationsrente]])^-Tidstabel[[#This Row],[År]])*((1+PrisudviklingGenerelt)^Tidstabel[[#This Row],[År]]))),BlankTegn)</f>
        <v>.</v>
      </c>
      <c r="BS32" s="262" t="str">
        <f>IFERROR(IF(Tidstabel[[#This Row],[År]]&gt;Input_Tidshorisont,BlankTegn,
IF(Tidstabel[[#This Row],[År]]=0,0,Tidstabel[[#This Row],[EI_Uds?]]*-EI_Enhedspris*EI_Genoprettelse*((1+Tidstabel[[#This Row],[Kalkulationsrente]])^-Tidstabel[[#This Row],[År]])*((1+PrisudviklingGenerelt)^Tidstabel[[#This Row],[År]]))),BlankTegn)</f>
        <v>.</v>
      </c>
      <c r="BT32" s="245">
        <f>IFERROR(IF(Tidstabel[[#This Row],[År]]&gt;Input_Tidshorisont,BlankTegn,
IF(Tidstabel[[#This Row],[År]]=0,-AP_Enhedspris,0)),BlankTegn)</f>
        <v>0</v>
      </c>
      <c r="BU32" s="245" t="str">
        <f>IFERROR(IF(Tidstabel[[#This Row],[År]]&gt;Input_Tidshorisont,BlankTegn,
IF(Tidstabel[[#This Row],[År]]=0,AP_Enhedspris/AP_Levetid,BU31*((1+Tidstabel[[#This Row],[Kalkulationsrente]])^-1)*((1+PrisudviklingGenerelt)^1))),BlankTegn)</f>
        <v>.</v>
      </c>
      <c r="BV32" s="178" t="str">
        <f ca="1">IFERROR(IF(Tidstabel[[#This Row],[År]]&gt;Input_Tidshorisont,BlankTegn,
IF(AP_Vedligehold_i=1,IF(Tidstabel[[#This Row],[AP_Uds?]]=0,1,0),IF(MAX(BV31:OFFSET(BW31,2-AP_Vedligehold_i,0),Tidstabel[[#This Row],[AP_Uds?]])=0,1,0))),BlankTegn)</f>
        <v>.</v>
      </c>
      <c r="BW32" s="178" t="str">
        <f>IFERROR(IF(Tidstabel[[#This Row],[År]]&gt;Input_Tidshorisont,BlankTegn,
IF(Tidstabel[[#This Row],[År]]=0,1,IF(MOD(Tidstabel[[#This Row],[År]],AP_Levetid)=0,1,IF(Tidstabel[[#This Row],[År]]=Input_Tidshorisont,0,0)))),BlankTegn)</f>
        <v>.</v>
      </c>
      <c r="BX32" s="245" t="str">
        <f ca="1">IFERROR(IF(Tidstabel[[#This Row],[År]]&gt;Input_Tidshorisont,BlankTegn,
AP_Vedligehold_p*-AP_Enhedspris*Tidstabel[[#This Row],[AP_Ved?]]*((1+Tidstabel[[#This Row],[Kalkulationsrente]])^-Tidstabel[[#This Row],[År]])*((1+PrisudviklingGenerelt)^Tidstabel[[#This Row],[År]])),BlankTegn)</f>
        <v>.</v>
      </c>
      <c r="BY32" s="245" t="str">
        <f>IFERROR(IF(Tidstabel[[#This Row],[År]]&gt;Input_Tidshorisont,BlankTegn,
IF(Tidstabel[[#This Row],[År]]=0,AP_Enhedspris,SUM(BY31:BZ31)*((1+Tidstabel[[#This Row],[Kalkulationsrente]])^-1)*((1+PrisudviklingGenerelt)^1)-Tidstabel[[#This Row],[AP_Afskrivning]])),BlankTegn)</f>
        <v>.</v>
      </c>
      <c r="BZ32" s="245" t="str">
        <f>IFERROR(IF(Tidstabel[[#This Row],[År]]&gt;Input_Tidshorisont,BlankTegn,
IF(Tidstabel[[#This Row],[År]]=0,0,Tidstabel[[#This Row],[AP_Uds?]]*AP_Enhedspris*((1+Tidstabel[[#This Row],[Kalkulationsrente]])^-Tidstabel[[#This Row],[År]])*((1+PrisudviklingGenerelt)^Tidstabel[[#This Row],[År]]))),BlankTegn)</f>
        <v>.</v>
      </c>
      <c r="CA32" s="262" t="str">
        <f>IFERROR(IF(Tidstabel[[#This Row],[År]]&gt;Input_Tidshorisont,BlankTegn,
IF(Tidstabel[[#This Row],[År]]=0,0,Tidstabel[[#This Row],[AP_Uds?]]*-AP_Enhedspris*AP_Genoprettelse*((1+Tidstabel[[#This Row],[Kalkulationsrente]])^-Tidstabel[[#This Row],[År]])*((1+PrisudviklingGenerelt)^Tidstabel[[#This Row],[År]]))),BlankTegn)</f>
        <v>.</v>
      </c>
      <c r="CB32" s="245">
        <f>IFERROR(IF(Tidstabel[[#This Row],[År]]&gt;Input_Tidshorisont,BlankTegn,
IF(Tidstabel[[#This Row],[År]]=0,-SK_Enhedspris,0)),BlankTegn)</f>
        <v>0</v>
      </c>
      <c r="CC32" s="245" t="str">
        <f>IFERROR(IF(Tidstabel[[#This Row],[År]]&gt;Input_Tidshorisont,BlankTegn,
IF(Tidstabel[[#This Row],[År]]=0,SK_Enhedspris/SK_Levetid,CC31*((1+Tidstabel[[#This Row],[Kalkulationsrente]])^-1)*((1+PrisudviklingGenerelt)^1))),BlankTegn)</f>
        <v>.</v>
      </c>
      <c r="CD32" s="178" t="str">
        <f ca="1">IFERROR(IF(Tidstabel[[#This Row],[År]]&gt;Input_Tidshorisont,BlankTegn,
IF(SK_Vedligehold_i=1,IF(Tidstabel[[#This Row],[SK_Uds?]]=0,1,0),IF(MAX(CD31:OFFSET(CE31,2-SK_Vedligehold_i,0),Tidstabel[[#This Row],[SK_Uds?]])=0,1,0))),BlankTegn)</f>
        <v>.</v>
      </c>
      <c r="CE32" s="178" t="str">
        <f>IFERROR(IF(Tidstabel[[#This Row],[År]]&gt;Input_Tidshorisont,BlankTegn,
IF(Tidstabel[[#This Row],[År]]=0,1,IF(MOD(Tidstabel[[#This Row],[År]],SK_Levetid)=0,1,IF(Tidstabel[[#This Row],[År]]=Input_Tidshorisont,0,0)))),BlankTegn)</f>
        <v>.</v>
      </c>
      <c r="CF32" s="245" t="str">
        <f ca="1">IFERROR(IF(Tidstabel[[#This Row],[År]]&gt;Input_Tidshorisont,BlankTegn,
SK_Vedligehold_p*-SK_Enhedspris*Tidstabel[[#This Row],[SK_Ved?]]*((1+Tidstabel[[#This Row],[Kalkulationsrente]])^-Tidstabel[[#This Row],[År]])*((1+PrisudviklingGenerelt)^Tidstabel[[#This Row],[År]])),BlankTegn)</f>
        <v>.</v>
      </c>
      <c r="CG32" s="245" t="str">
        <f>IFERROR(IF(Tidstabel[[#This Row],[År]]&gt;Input_Tidshorisont,BlankTegn,
IF(Tidstabel[[#This Row],[År]]=0,SK_Enhedspris,SUM(CG31:CH31)*((1+Tidstabel[[#This Row],[Kalkulationsrente]])^-1)*((1+PrisudviklingGenerelt)^1)-Tidstabel[[#This Row],[SK_Afskrivning]])),BlankTegn)</f>
        <v>.</v>
      </c>
      <c r="CH32" s="245" t="str">
        <f>IFERROR(IF(Tidstabel[[#This Row],[År]]&gt;Input_Tidshorisont,BlankTegn,
IF(Tidstabel[[#This Row],[År]]=0,0,Tidstabel[[#This Row],[SK_Uds?]]*SK_Enhedspris*((1+Tidstabel[[#This Row],[Kalkulationsrente]])^-Tidstabel[[#This Row],[År]])*((1+PrisudviklingGenerelt)^Tidstabel[[#This Row],[År]]))),BlankTegn)</f>
        <v>.</v>
      </c>
      <c r="CI32" s="262" t="str">
        <f>IFERROR(IF(Tidstabel[[#This Row],[År]]&gt;Input_Tidshorisont,BlankTegn,
IF(Tidstabel[[#This Row],[År]]=0,0,Tidstabel[[#This Row],[SK_Uds?]]*-SK_Enhedspris*SK_Genoprettelse*((1+Tidstabel[[#This Row],[Kalkulationsrente]])^-Tidstabel[[#This Row],[År]])*((1+PrisudviklingGenerelt)^Tidstabel[[#This Row],[År]]))),BlankTegn)</f>
        <v>.</v>
      </c>
      <c r="CJ32" s="19"/>
    </row>
    <row r="33" spans="1:88">
      <c r="A33" s="250">
        <v>26</v>
      </c>
      <c r="B33" s="250">
        <f>Input_Etableringsår+Tidstabel[[#This Row],[År]]</f>
        <v>2050</v>
      </c>
      <c r="C33" s="274" cm="1">
        <f t="array" ref="C33">_xlfn.IFS(Tidstabel[[#This Row],[År]]&gt;KR_Trin3_Tærskel,KR_Trin3_Rente,Tidstabel[[#This Row],[År]]&gt;KR_Trin2_Tærskel,KR_Trin2_Rente,Tidstabel[[#This Row],[År]]&gt;KR_Trin1_Tærskel,KR_Trin1_Rente,Tidstabel[[#This Row],[År]]&gt;KR_Trin0_Tærskel,KR_Trin0_Rente)</f>
        <v>3.5000000000000003E-2</v>
      </c>
      <c r="D33" s="142" t="str" cm="1">
        <f t="array" ref="D33">IFERROR(
INDEX(Range_Materiale_ÅrligeEmissioner,MATCH(1,(Materialedata[Komponent]=FB_Titel)*(Materialedata[Materiale]=FB_Materiale),0),MATCH(Tidstabel[[#This Row],[År]],Range_Materiale_År,0)),BlankTegn)</f>
        <v>.</v>
      </c>
      <c r="E33" s="142" t="str" cm="1">
        <f t="array" ref="E33">IFERROR(
INDEX(Range_Materiale_ÅrligeEmissioner,MATCH(1,(Materialedata[Komponent]=SK_Titel)*(Materialedata[Materiale]=SK_Materiale),0),MATCH(Tidstabel[[#This Row],[År]],Range_Materiale_År,0)),BlankTegn)</f>
        <v>.</v>
      </c>
      <c r="F33" s="142" t="str" cm="1">
        <f t="array" ref="F33">IFERROR(
INDEX(Range_Materiale_ÅrligeEmissioner,MATCH(1,(Materialedata[Komponent]=EI_Titel)*(Materialedata[Materiale]=EI_Materiale),0),MATCH(Tidstabel[[#This Row],[År]],Range_Materiale_År,0)),BlankTegn)</f>
        <v>.</v>
      </c>
      <c r="G33" s="142" t="str" cm="1">
        <f t="array" ref="G33">IFERROR(
INDEX(Range_Materiale_ÅrligeEmissioner,MATCH(1,(Materialedata[Komponent]=AP_Titel)*(Materialedata[Materiale]=AP_Materiale),0),MATCH(Tidstabel[[#This Row],[År]],Range_Materiale_År,0)),BlankTegn)</f>
        <v>.</v>
      </c>
      <c r="H33" s="142" t="str" cm="1">
        <f t="array" ref="H33">IFERROR(
INDEX(Range_Materiale_ÅrligeEmissioner,MATCH(1,(Materialedata[Komponent]=VS_Titel)*(Materialedata[Materiale]=VS_Materiale),0),MATCH(Tidstabel[[#This Row],[År]],Range_Materiale_År,0)),BlankTegn)</f>
        <v>.</v>
      </c>
      <c r="I33" s="142" t="str">
        <f>IFERROR(
IF(SUM(Tidstabel[[#This Row],[Facadebeklædning]:[Vindspærre]])=0,BlankTegn,
SUM(Tidstabel[[#This Row],[Facadebeklædning]:[Vindspærre]])),BlankTegn)</f>
        <v>.</v>
      </c>
      <c r="J33" s="139">
        <f>IF(Tidstabel[[#This Row],[År]]&gt;Input_Tidshorisont,BlankTegn,
A5_ElVarmeBrændstofByggeplads)</f>
        <v>0.25</v>
      </c>
      <c r="K33" s="142" t="str">
        <f>IFERROR(IF(Tidstabel[[#This Row],[År]]&gt;Input_Tidshorisont,BlankTegn,
-1*INDEX(Range_Energi_ÅrligBesparelse,MATCH(Input_EksisterendeFacade,Energiberegning[Ydervæg],0),MATCH(Tidstabel[[#This Row],[Årstal]],Range_Energi_Årstal,0))),BlankTegn)</f>
        <v>.</v>
      </c>
      <c r="L33" s="142">
        <f>IF(Tidstabel[[#This Row],[År]]&gt;Input_Tidshorisont,BlankTegn,
(Tidstabel[[#This Row],[År]]+1)*(SUM(Vedligeholdelsesmaterialer[Facadefarve],Vedligeholdelsesmaterialer[Grunder og mellemmaling])/12+SUM(Vedligeholdelsesmaterialer[Puds])/30))</f>
        <v>8.7710657174999991</v>
      </c>
      <c r="M33" s="142" t="str">
        <f>IFERROR(IF(Tidstabel[[#This Row],[År]]&gt;Input_Tidshorisont,BlankTegn,
Tidstabel[[#This Row],[Materialer_Total]]+Tidstabel[[#This Row],[Byggeprocess]]),BlankTegn)</f>
        <v>.</v>
      </c>
      <c r="N33" s="142" t="str">
        <f>IFERROR(IF(Tidstabel[[#This Row],[År]]&gt;Input_Tidshorisont,BlankTegn,
Tidstabel[[#This Row],[Energibesparelse]]+Tidstabel[[#This Row],[Emission_Brutto]]),BlankTegn)</f>
        <v>.</v>
      </c>
      <c r="O33" s="142" t="str">
        <f>IFERROR(IF(Tidstabel[[#This Row],[År]]&gt;Input_Tidshorisont,BlankTegn,
Tidstabel[[#This Row],[Emission_Netto]]-Tidstabel[[#This Row],[Vedligehold_EksisterendeFacade]]),BlankTegn)</f>
        <v>.</v>
      </c>
      <c r="P33" s="271" t="str">
        <f>IFERROR(IF(Tidstabel[[#This Row],[År]]&gt;Input_Tidshorisont,BlankTegn,
IF(AND(Tidstabel[[#This Row],[Emission_Netto]]-Tidstabel[[#This Row],[Vedligehold_EksisterendeFacade]]&gt;0,N34-L34&lt;0),-1,IF(AND(Tidstabel[[#This Row],[Emission_Netto]]-Tidstabel[[#This Row],[Vedligehold_EksisterendeFacade]]&lt;0,N34-L34&gt;0),1,0))),BlankTegn)</f>
        <v>.</v>
      </c>
      <c r="Q33" s="174" t="str">
        <f>IF(Tidstabel[[#This Row],[År]]&gt;Input_Tidshorisont,BlankTegn,
IF(Tidstabel[[#This Row],[LCA-Skæring]]=-1,SUM(Tidstabel[[#This Row],[År]]*(1-ABS(Tidstabel[[#This Row],[LCA-Difference]])/(ABS(Tidstabel[[#This Row],[LCA-Difference]])+ABS(O34))),A34*(1-ABS(O34)/(ABS(Tidstabel[[#This Row],[LCA-Difference]])+ABS(O34)))),"-"))</f>
        <v>-</v>
      </c>
      <c r="R33" s="174" t="str">
        <f>IF(Tidstabel[[#This Row],[År]]&gt;Input_Tidshorisont,BlankTegn,
IF(Tidstabel[[#This Row],[LCA-Skæring]]=-1,SUM(Tidstabel[[#This Row],[Emission_Netto]]*(1-ABS(Tidstabel[[#This Row],[LCA-Difference]])/(ABS(Tidstabel[[#This Row],[LCA-Difference]])+ABS(O34))),N34*(1-ABS(O34)/(ABS(Tidstabel[[#This Row],[LCA-Difference]])+ABS(O34)))),"-"))</f>
        <v>-</v>
      </c>
      <c r="S33" s="174" t="str">
        <f>IF(Tidstabel[[#This Row],[År]]&gt;Input_Tidshorisont,BlankTegn,
IF(Tidstabel[[#This Row],[LCA-Skæring]]=1,SUM(Tidstabel[[#This Row],[År]]*(1-ABS(Tidstabel[[#This Row],[LCA-Difference]])/(ABS(Tidstabel[[#This Row],[LCA-Difference]])+ABS(O34))),A34*(1-ABS(O34)/(ABS(Tidstabel[[#This Row],[LCA-Difference]])+ABS(O34)))),"-"))</f>
        <v>-</v>
      </c>
      <c r="T33" s="264" t="str">
        <f>IF(Tidstabel[[#This Row],[År]]&gt;Input_Tidshorisont,BlankTegn,
IF(Tidstabel[[#This Row],[LCA-Skæring]]=1,SUM(Tidstabel[[#This Row],[Emission_Netto]]*(1-ABS(Tidstabel[[#This Row],[LCA-Difference]])/(ABS(Tidstabel[[#This Row],[LCA-Difference]])+ABS(O34))),N34*(1-ABS(O34)/(ABS(Tidstabel[[#This Row],[LCA-Difference]])+ABS(O34)))),"-"))</f>
        <v>-</v>
      </c>
      <c r="U33" s="142" t="str">
        <f ca="1">IFERROR(IF(Tidstabel[[#This Row],[År]]&gt;Input_Tidshorisont,BlankTegn,
Tidstabel[[#This Row],[NPV_Klimafacade]]-Tidstabel[[#This Row],[NPV_Eksisterende]]),BlankTegn)</f>
        <v>.</v>
      </c>
      <c r="V33" s="271" t="str">
        <f ca="1">IFERROR(IF(Tidstabel[[#This Row],[År]]&gt;Input_Tidshorisont,BlankTegn,
IF(AND(Tidstabel[[#This Row],[NPV_Klimafacade]]-Tidstabel[[#This Row],[NPV_Eksisterende]]&gt;0,AB34-AA34&lt;0),1,IF(AND(Tidstabel[[#This Row],[NPV_Klimafacade]]-Tidstabel[[#This Row],[NPV_Eksisterende]]&lt;0,AB34-AA34&gt;0),-1,0))),BlankTegn)</f>
        <v>.</v>
      </c>
      <c r="W33" s="174" t="str">
        <f ca="1">IF(Tidstabel[[#This Row],[År]]&gt;Input_Tidshorisont,BlankTegn,
IF(Tidstabel[[#This Row],[LCC-Skæring]]=-1,SUM(Tidstabel[[#This Row],[År]]*(1-ABS(Tidstabel[[#This Row],[LCC-Difference]])/(ABS(Tidstabel[[#This Row],[LCC-Difference]])+ABS(U34))),A34*(1-ABS(U34)/(ABS(Tidstabel[[#This Row],[LCC-Difference]])+ABS(U34)))),"-"))</f>
        <v>-</v>
      </c>
      <c r="X33" s="174" t="str">
        <f ca="1">IF(Tidstabel[[#This Row],[År]]&gt;Input_Tidshorisont,BlankTegn,
IF(Tidstabel[[#This Row],[LCC-Skæring]]=-1,SUM(Tidstabel[[#This Row],[NPV_Klimafacade]]*(1-ABS(Tidstabel[[#This Row],[LCC-Difference]])/(ABS(Tidstabel[[#This Row],[LCC-Difference]])+ABS(U34))),AB34*(1-ABS(U34)/(ABS(Tidstabel[[#This Row],[LCC-Difference]])+ABS(U34)))),"-"))</f>
        <v>-</v>
      </c>
      <c r="Y33" s="174" t="str">
        <f ca="1">IF(Tidstabel[[#This Row],[År]]&gt;Input_Tidshorisont,BlankTegn,
IF(Tidstabel[[#This Row],[LCC-Skæring]]=1,SUM(Tidstabel[[#This Row],[År]]*(1-ABS(Tidstabel[[#This Row],[LCC-Difference]])/(ABS(Tidstabel[[#This Row],[LCC-Difference]])+ABS(U34))),A34*(1-ABS(U34)/(ABS(Tidstabel[[#This Row],[LCC-Difference]])+ABS(U34)))),"-"))</f>
        <v>-</v>
      </c>
      <c r="Z33" s="264" t="str">
        <f ca="1">IF(Tidstabel[[#This Row],[År]]&gt;Input_Tidshorisont,BlankTegn,
IF(Tidstabel[[#This Row],[LCC-Skæring]]=1,SUM(Tidstabel[[#This Row],[NPV_Klimafacade]]*(1-ABS(Tidstabel[[#This Row],[LCC-Difference]])/(ABS(Tidstabel[[#This Row],[LCC-Difference]])+ABS(U34))),AB34*(1-ABS(U34)/(ABS(Tidstabel[[#This Row],[LCC-Difference]])+ABS(U34)))),"-"))</f>
        <v>-</v>
      </c>
      <c r="AA33" s="142">
        <f ca="1">IF(Tidstabel[[#This Row],[År]]&gt;Input_Tidshorisont,BlankTegn,
Tidstabel[[#This Row],[EF_Vedligehold_Aggregeret]])</f>
        <v>-190.50154257419126</v>
      </c>
      <c r="AB33"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33" s="142" t="str">
        <f>IFERROR(IF(Tidstabel[[#This Row],[År]]&gt;Input_Tidshorisont,BlankTegn,
Tidstabel[[#This Row],[KF_Anskaffelse_Aggregeret]]+Tidstabel[[#This Row],[KF_Engangsudgifter_Aggregeret]]),BlankTegn)</f>
        <v>.</v>
      </c>
      <c r="AD33" s="174">
        <f ca="1">IFERROR(IF(Tidstabel[[#This Row],[År]]&gt;Input_Tidshorisont,BlankTegn,
IF(Tidstabel[[#This Row],[År]]=0,0,Tidstabel[[#This Row],[NPV_Eksisterende]]*(Tidstabel[[#This Row],[Kalkulationsrente]]/(1-(1+Tidstabel[[#This Row],[Kalkulationsrente]])^-Tidstabel[[#This Row],[År]])))),BlankTegn)</f>
        <v>-11.27871933083485</v>
      </c>
      <c r="AE33" s="264" t="str">
        <f ca="1">IFERROR(IF(Tidstabel[[#This Row],[År]]&gt;Input_Tidshorisont,BlankTegn,
IF(Tidstabel[[#This Row],[År]]=0,0,Tidstabel[[#This Row],[NPV_Klimafacade]]*(Tidstabel[[#This Row],[Kalkulationsrente]]/(1-(1+Tidstabel[[#This Row],[Kalkulationsrente]])^-Tidstabel[[#This Row],[År]])))),BlankTegn)</f>
        <v>.</v>
      </c>
      <c r="AF33" s="270">
        <f ca="1">IF(Tidstabel[[#This Row],[År]]&gt;Input_Tidshorisont,BlankTegn,
IF(EF_Vedligehold_i=1,IF(Tidstabel[[#This Row],[EF_Uds?]]=0,1,0),IF(MAX(AF32:OFFSET(AG32,2-EF_Vedligehold_i,0),Tidstabel[[#This Row],[EF_Uds?]])=0,1,0)))</f>
        <v>1</v>
      </c>
      <c r="AG33" s="181">
        <f>IF(Tidstabel[[#This Row],[År]]&gt;Input_Tidshorisont,BlankTegn,0)</f>
        <v>0</v>
      </c>
      <c r="AH33" s="263">
        <f ca="1">IF(Tidstabel[[#This Row],[År]]&gt;Input_Tidshorisont,BlankTegn,
Tidstabel[[#This Row],[EF_Ved?]]*EF_Vedligehold_p*-EF_Enhedspris*((1+Tidstabel[[#This Row],[Kalkulationsrente]])^-Tidstabel[[#This Row],[År]])*((1+PrisudviklingGenerelt)^Tidstabel[[#This Row],[År]]))</f>
        <v>-4.3534194186382997</v>
      </c>
      <c r="AI33" s="262">
        <f ca="1">IF(Tidstabel[[#This Row],[År]]&gt;Input_Tidshorisont,BlankTegn,
IF(Tidstabel[[#This Row],[År]]=0,Tidstabel[[#This Row],[EF_Vedligehold]],AI32+Tidstabel[[#This Row],[EF_Vedligehold]]))</f>
        <v>-190.50154257419126</v>
      </c>
      <c r="AJ33" s="245">
        <f>IFERROR(IF(Tidstabel[[#This Row],[År]]&gt;Input_Tidshorisont,BlankTegn,
Tidstabel[[#This Row],[FB_Anskaffelse]]+Tidstabel[[#This Row],[VS_Anskaffelse]]+Tidstabel[[#This Row],[EI_Anskaffelse]]+Tidstabel[[#This Row],[AP_Anskaffelse]]+Tidstabel[[#This Row],[SK_Anskaffelse]]),BlankTegn)</f>
        <v>0</v>
      </c>
      <c r="AK33" s="245" t="str">
        <f>IFERROR(IF(Tidstabel[[#This Row],[År]]&gt;Input_Tidshorisont,BlankTegn,
IF(Tidstabel[[#This Row],[År]]=0,Tidstabel[[#This Row],[KF_Anskaffelse]],AK32+Tidstabel[[#This Row],[KF_Anskaffelse]])),BlankTegn)</f>
        <v>.</v>
      </c>
      <c r="AL33" s="246" t="str">
        <f ca="1">IFERROR(IF(Tidstabel[[#This Row],[År]]&gt;Input_Tidshorisont,BlankTegn,
Tidstabel[[#This Row],[FB_Vedligehold]]+Tidstabel[[#This Row],[VS_Vedligehold]]+Tidstabel[[#This Row],[EI_Vedligehold]]+Tidstabel[[#This Row],[AP_Vedligehold]]+Tidstabel[[#This Row],[SK_Vedligehold]]),BlankTegn)</f>
        <v>.</v>
      </c>
      <c r="AM33" s="245" t="str">
        <f ca="1">IFERROR(IF(Tidstabel[[#This Row],[År]]&gt;Input_Tidshorisont,BlankTegn,
IF(Tidstabel[[#This Row],[År]]=0,Tidstabel[[#This Row],[KF_Vedligehold]],AM32+Tidstabel[[#This Row],[KF_Vedligehold]])),BlankTegn)</f>
        <v>.</v>
      </c>
      <c r="AN33"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33"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33" s="245" t="str">
        <f>IFERROR(IF(Tidstabel[[#This Row],[År]]&gt;Input_Tidshorisont,BlankTegn,
IF(Tidstabel[[#This Row],[År]]=0,Tidstabel[[#This Row],[KF_Udskiftning_Komponent]],AP32+Tidstabel[[#This Row],[KF_Udskiftning_Komponent]])),BlankTegn)</f>
        <v>.</v>
      </c>
      <c r="AQ33" s="245">
        <f>IF(Tidstabel[[#This Row],[År]]&gt;Input_Tidshorisont,BlankTegn,
IF(Tidstabel[[#This Row],[År]]=0,-SUM(Engangsudgifter[Udgift]),0))</f>
        <v>0</v>
      </c>
      <c r="AR33" s="245">
        <f>IFERROR(IF(Tidstabel[[#This Row],[År]]&gt;Input_Tidshorisont,BlankTegn,
IF(Tidstabel[[#This Row],[År]]=0,Tidstabel[[#This Row],[KF_Engangsudgifter]],AR32+Tidstabel[[#This Row],[KF_Engangsudgifter]])),BlankTegn)</f>
        <v>0</v>
      </c>
      <c r="AS33" s="315" t="str">
        <f>IFERROR(IF(Tidstabel[[#This Row],[År]]&gt;Input_Tidshorisont,BlankTegn,
-Energibesparelse_Årlig),BlankTegn)</f>
        <v>.</v>
      </c>
      <c r="AT33" s="245" t="str">
        <f>IFERROR(IF(Tidstabel[[#This Row],[År]]&gt;Input_Tidshorisont,BlankTegn,
IF(Tidstabel[[#This Row],[År]]=0,0,-Tidstabel[[#This Row],[KF_Energiforbrug]]*Input_Fjernvarmepris*((1+Tidstabel[[#This Row],[Kalkulationsrente]])^-Tidstabel[[#This Row],[År]])*((1+PrisudviklingFjernvarme)^Tidstabel[[#This Row],[År]]))),BlankTegn)</f>
        <v>.</v>
      </c>
      <c r="AU33" s="262" t="str">
        <f>IFERROR(IF(Tidstabel[[#This Row],[År]]&gt;Input_Tidshorisont,BlankTegn,
IF(Tidstabel[[#This Row],[År]]=0,Tidstabel[[#This Row],[KF_Forsyning]],AU32+Tidstabel[[#This Row],[KF_Forsyning]])),BlankTegn)</f>
        <v>.</v>
      </c>
      <c r="AV33" s="245">
        <f>IFERROR(IF(Tidstabel[[#This Row],[År]]&gt;Input_Tidshorisont,BlankTegn,
IF(Tidstabel[[#This Row],[År]]=0,-FB_Enhedspris,0)),BlankTegn)</f>
        <v>0</v>
      </c>
      <c r="AW33" s="245" t="str">
        <f>IFERROR(IF(Tidstabel[[#This Row],[År]]&gt;Input_Tidshorisont,BlankTegn,
IF(Tidstabel[[#This Row],[År]]=0,FB_Enhedspris/FB_Levetid,AW32*((1+Tidstabel[[#This Row],[Kalkulationsrente]])^-1)*((1+PrisudviklingGenerelt)^1))),BlankTegn)</f>
        <v>.</v>
      </c>
      <c r="AX33" s="178" t="str">
        <f ca="1">IFERROR(IF(Tidstabel[[#This Row],[År]]&gt;Input_Tidshorisont,BlankTegn,
IF(FB_Vedligehold_i=1,IF(Tidstabel[[#This Row],[FB_Uds?]]=0,1,0),IF(MAX(AX32:OFFSET(AY32,2-FB_Vedligehold_i,0),Tidstabel[[#This Row],[FB_Uds?]])=0,1,0))),BlankTegn)</f>
        <v>.</v>
      </c>
      <c r="AY33" s="178" t="str">
        <f>IFERROR(IF(Tidstabel[[#This Row],[År]]&gt;Input_Tidshorisont,BlankTegn,
IF(Tidstabel[[#This Row],[År]]=0,1,IF(MOD(Tidstabel[[#This Row],[År]],FB_Levetid)=0,1,IF(Tidstabel[[#This Row],[År]]=Input_Tidshorisont,0,0)))),BlankTegn)</f>
        <v>.</v>
      </c>
      <c r="AZ33" s="245" t="str">
        <f ca="1">IFERROR(IF(Tidstabel[[#This Row],[År]]&gt;Input_Tidshorisont,BlankTegn,
FB_Vedligehold_p*-FB_Enhedspris*Tidstabel[[#This Row],[FB_Ved?]]*((1+Tidstabel[[#This Row],[Kalkulationsrente]])^-Tidstabel[[#This Row],[År]])*((1+PrisudviklingGenerelt)^Tidstabel[[#This Row],[År]])),BlankTegn)</f>
        <v>.</v>
      </c>
      <c r="BA33" s="245" t="str">
        <f>IFERROR(IF(Tidstabel[[#This Row],[År]]&gt;Input_Tidshorisont,BlankTegn,
IF(Tidstabel[[#This Row],[År]]=0,FB_Enhedspris,SUM(BA32:BB32)*((1+Tidstabel[[#This Row],[Kalkulationsrente]])^-1)*((1+PrisudviklingGenerelt)^1)-Tidstabel[[#This Row],[FB_Afskrivning]])),BlankTegn)</f>
        <v>.</v>
      </c>
      <c r="BB33" s="245" t="str">
        <f>IFERROR(IF(Tidstabel[[#This Row],[År]]&gt;Input_Tidshorisont,BlankTegn,
IF(Tidstabel[[#This Row],[År]]=0,0,Tidstabel[[#This Row],[FB_Uds?]]*FB_Enhedspris*((1+Tidstabel[[#This Row],[Kalkulationsrente]])^-Tidstabel[[#This Row],[År]])*((1+PrisudviklingGenerelt)^Tidstabel[[#This Row],[År]]))),BlankTegn)</f>
        <v>.</v>
      </c>
      <c r="BC33" s="262" t="str">
        <f>IFERROR(IF(Tidstabel[[#This Row],[År]]&gt;Input_Tidshorisont,BlankTegn,
IF(Tidstabel[[#This Row],[År]]=0,0,Tidstabel[[#This Row],[FB_Uds?]]*-FB_Enhedspris*FB_Genoprettelse*((1+Tidstabel[[#This Row],[Kalkulationsrente]])^-Tidstabel[[#This Row],[År]])*((1+PrisudviklingGenerelt)^Tidstabel[[#This Row],[År]]))),BlankTegn)</f>
        <v>.</v>
      </c>
      <c r="BD33" s="245">
        <f>IFERROR(IF(Tidstabel[[#This Row],[År]]&gt;Input_Tidshorisont,BlankTegn,
IF(Tidstabel[[#This Row],[År]]=0,-VS_Enhedspris,0)),BlankTegn)</f>
        <v>0</v>
      </c>
      <c r="BE33" s="245" t="str">
        <f>IFERROR(IF(Tidstabel[[#This Row],[År]]&gt;Input_Tidshorisont,BlankTegn,
IF(Tidstabel[[#This Row],[År]]=0,VS_Enhedspris/VS_Levetid,BE32*((1+Tidstabel[[#This Row],[Kalkulationsrente]])^-1)*((1+PrisudviklingGenerelt)^1))),BlankTegn)</f>
        <v>.</v>
      </c>
      <c r="BF33" s="178" t="str">
        <f ca="1">IFERROR(IF(Tidstabel[[#This Row],[År]]&gt;Input_Tidshorisont,BlankTegn,
IF(VS_Vedligehold_i=1,IF(Tidstabel[[#This Row],[VS_Uds?]]=0,1,0),IF(MAX(BF32:OFFSET(BG32,2-VS_Vedligehold_i,0),Tidstabel[[#This Row],[VS_Uds?]])=0,1,0))),BlankTegn)</f>
        <v>.</v>
      </c>
      <c r="BG33" s="178" t="str">
        <f>IFERROR(IF(Tidstabel[[#This Row],[År]]&gt;Input_Tidshorisont,BlankTegn,
IF(Tidstabel[[#This Row],[År]]=0,1,IF(MOD(Tidstabel[[#This Row],[År]],VS_Levetid)=0,1,IF(Tidstabel[[#This Row],[År]]=Input_Tidshorisont,0,0)))),BlankTegn)</f>
        <v>.</v>
      </c>
      <c r="BH33" s="245" t="str">
        <f ca="1">IFERROR(IF(Tidstabel[[#This Row],[År]]&gt;Input_Tidshorisont,BlankTegn,
VS_Vedligehold_p*-VS_Enhedspris*Tidstabel[[#This Row],[VS_Ved?]]*((1+Tidstabel[[#This Row],[Kalkulationsrente]])^-Tidstabel[[#This Row],[År]])*((1+PrisudviklingGenerelt)^Tidstabel[[#This Row],[År]])),BlankTegn)</f>
        <v>.</v>
      </c>
      <c r="BI33" s="245" t="str">
        <f>IFERROR(IF(Tidstabel[[#This Row],[År]]&gt;Input_Tidshorisont,BlankTegn,
IF(Tidstabel[[#This Row],[År]]=0,VS_Enhedspris,SUM(BI32:BJ32)*((1+Tidstabel[[#This Row],[Kalkulationsrente]])^-1)*((1+PrisudviklingGenerelt)^1)-Tidstabel[[#This Row],[VS_Afskrivning]])),BlankTegn)</f>
        <v>.</v>
      </c>
      <c r="BJ33" s="245" t="str">
        <f>IFERROR(IF(Tidstabel[[#This Row],[År]]&gt;Input_Tidshorisont,BlankTegn,
IF(Tidstabel[[#This Row],[År]]=0,0,Tidstabel[[#This Row],[VS_Uds?]]*VS_Enhedspris*((1+Tidstabel[[#This Row],[Kalkulationsrente]])^-Tidstabel[[#This Row],[År]])*((1+PrisudviklingGenerelt)^Tidstabel[[#This Row],[År]]))),BlankTegn)</f>
        <v>.</v>
      </c>
      <c r="BK33" s="262" t="str">
        <f>IFERROR(IF(Tidstabel[[#This Row],[År]]&gt;Input_Tidshorisont,BlankTegn,
IF(Tidstabel[[#This Row],[År]]=0,0,Tidstabel[[#This Row],[VS_Uds?]]*-VS_Enhedspris*VS_Genoprettelse*((1+Tidstabel[[#This Row],[Kalkulationsrente]])^-Tidstabel[[#This Row],[År]])*((1+PrisudviklingGenerelt)^Tidstabel[[#This Row],[År]]))),BlankTegn)</f>
        <v>.</v>
      </c>
      <c r="BL33" s="245">
        <f>IFERROR(IF(Tidstabel[[#This Row],[År]]&gt;Input_Tidshorisont,BlankTegn,
IF(Tidstabel[[#This Row],[År]]=0,-EI_Enhedspris,0)),BlankTegn)</f>
        <v>0</v>
      </c>
      <c r="BM33" s="245" t="str">
        <f>IFERROR(IF(Tidstabel[[#This Row],[År]]&gt;Input_Tidshorisont,BlankTegn,
IF(Tidstabel[[#This Row],[År]]=0,EI_Enhedspris/EI_Levetid,BM32*((1+Tidstabel[[#This Row],[Kalkulationsrente]])^-1)*((1+PrisudviklingGenerelt)^1))),BlankTegn)</f>
        <v>.</v>
      </c>
      <c r="BN33" s="178" t="str">
        <f ca="1">IFERROR(IF(Tidstabel[[#This Row],[År]]&gt;Input_Tidshorisont,BlankTegn,
IF(EI_Vedligehold_i=1,IF(Tidstabel[[#This Row],[EI_Uds?]]=0,1,0),IF(MAX(BN32:OFFSET(BO32,2-EI_Vedligehold_i,0),Tidstabel[[#This Row],[EI_Uds?]])=0,1,0))),BlankTegn)</f>
        <v>.</v>
      </c>
      <c r="BO33" s="178" t="str">
        <f>IFERROR(IF(Tidstabel[[#This Row],[År]]&gt;Input_Tidshorisont,BlankTegn,
IF(Tidstabel[[#This Row],[År]]=0,1,IF(MOD(Tidstabel[[#This Row],[År]],EI_Levetid)=0,1,IF(Tidstabel[[#This Row],[År]]=Input_Tidshorisont,0,0)))),BlankTegn)</f>
        <v>.</v>
      </c>
      <c r="BP33" s="245" t="str">
        <f ca="1">IFERROR(IF(Tidstabel[[#This Row],[År]]&gt;Input_Tidshorisont,BlankTegn,
EI_Vedligehold_p*-EI_Enhedspris*Tidstabel[[#This Row],[EI_Ved?]]*((1+Tidstabel[[#This Row],[Kalkulationsrente]])^-Tidstabel[[#This Row],[År]])*((1+PrisudviklingGenerelt)^Tidstabel[[#This Row],[År]])),BlankTegn)</f>
        <v>.</v>
      </c>
      <c r="BQ33" s="245" t="str">
        <f>IFERROR(IF(Tidstabel[[#This Row],[År]]&gt;Input_Tidshorisont,BlankTegn,
IF(Tidstabel[[#This Row],[År]]=0,EI_Enhedspris,SUM(BQ32:BR32)*((1+Tidstabel[[#This Row],[Kalkulationsrente]])^-1)*((1+PrisudviklingGenerelt)^1)-Tidstabel[[#This Row],[EI_Afskrivning]])),BlankTegn)</f>
        <v>.</v>
      </c>
      <c r="BR33" s="245" t="str">
        <f>IFERROR(IF(Tidstabel[[#This Row],[År]]&gt;Input_Tidshorisont,BlankTegn,
IF(Tidstabel[[#This Row],[År]]=0,0,Tidstabel[[#This Row],[EI_Uds?]]*EI_Enhedspris*((1+Tidstabel[[#This Row],[Kalkulationsrente]])^-Tidstabel[[#This Row],[År]])*((1+PrisudviklingGenerelt)^Tidstabel[[#This Row],[År]]))),BlankTegn)</f>
        <v>.</v>
      </c>
      <c r="BS33" s="262" t="str">
        <f>IFERROR(IF(Tidstabel[[#This Row],[År]]&gt;Input_Tidshorisont,BlankTegn,
IF(Tidstabel[[#This Row],[År]]=0,0,Tidstabel[[#This Row],[EI_Uds?]]*-EI_Enhedspris*EI_Genoprettelse*((1+Tidstabel[[#This Row],[Kalkulationsrente]])^-Tidstabel[[#This Row],[År]])*((1+PrisudviklingGenerelt)^Tidstabel[[#This Row],[År]]))),BlankTegn)</f>
        <v>.</v>
      </c>
      <c r="BT33" s="245">
        <f>IFERROR(IF(Tidstabel[[#This Row],[År]]&gt;Input_Tidshorisont,BlankTegn,
IF(Tidstabel[[#This Row],[År]]=0,-AP_Enhedspris,0)),BlankTegn)</f>
        <v>0</v>
      </c>
      <c r="BU33" s="245" t="str">
        <f>IFERROR(IF(Tidstabel[[#This Row],[År]]&gt;Input_Tidshorisont,BlankTegn,
IF(Tidstabel[[#This Row],[År]]=0,AP_Enhedspris/AP_Levetid,BU32*((1+Tidstabel[[#This Row],[Kalkulationsrente]])^-1)*((1+PrisudviklingGenerelt)^1))),BlankTegn)</f>
        <v>.</v>
      </c>
      <c r="BV33" s="178" t="str">
        <f ca="1">IFERROR(IF(Tidstabel[[#This Row],[År]]&gt;Input_Tidshorisont,BlankTegn,
IF(AP_Vedligehold_i=1,IF(Tidstabel[[#This Row],[AP_Uds?]]=0,1,0),IF(MAX(BV32:OFFSET(BW32,2-AP_Vedligehold_i,0),Tidstabel[[#This Row],[AP_Uds?]])=0,1,0))),BlankTegn)</f>
        <v>.</v>
      </c>
      <c r="BW33" s="178" t="str">
        <f>IFERROR(IF(Tidstabel[[#This Row],[År]]&gt;Input_Tidshorisont,BlankTegn,
IF(Tidstabel[[#This Row],[År]]=0,1,IF(MOD(Tidstabel[[#This Row],[År]],AP_Levetid)=0,1,IF(Tidstabel[[#This Row],[År]]=Input_Tidshorisont,0,0)))),BlankTegn)</f>
        <v>.</v>
      </c>
      <c r="BX33" s="245" t="str">
        <f ca="1">IFERROR(IF(Tidstabel[[#This Row],[År]]&gt;Input_Tidshorisont,BlankTegn,
AP_Vedligehold_p*-AP_Enhedspris*Tidstabel[[#This Row],[AP_Ved?]]*((1+Tidstabel[[#This Row],[Kalkulationsrente]])^-Tidstabel[[#This Row],[År]])*((1+PrisudviklingGenerelt)^Tidstabel[[#This Row],[År]])),BlankTegn)</f>
        <v>.</v>
      </c>
      <c r="BY33" s="245" t="str">
        <f>IFERROR(IF(Tidstabel[[#This Row],[År]]&gt;Input_Tidshorisont,BlankTegn,
IF(Tidstabel[[#This Row],[År]]=0,AP_Enhedspris,SUM(BY32:BZ32)*((1+Tidstabel[[#This Row],[Kalkulationsrente]])^-1)*((1+PrisudviklingGenerelt)^1)-Tidstabel[[#This Row],[AP_Afskrivning]])),BlankTegn)</f>
        <v>.</v>
      </c>
      <c r="BZ33" s="245" t="str">
        <f>IFERROR(IF(Tidstabel[[#This Row],[År]]&gt;Input_Tidshorisont,BlankTegn,
IF(Tidstabel[[#This Row],[År]]=0,0,Tidstabel[[#This Row],[AP_Uds?]]*AP_Enhedspris*((1+Tidstabel[[#This Row],[Kalkulationsrente]])^-Tidstabel[[#This Row],[År]])*((1+PrisudviklingGenerelt)^Tidstabel[[#This Row],[År]]))),BlankTegn)</f>
        <v>.</v>
      </c>
      <c r="CA33" s="262" t="str">
        <f>IFERROR(IF(Tidstabel[[#This Row],[År]]&gt;Input_Tidshorisont,BlankTegn,
IF(Tidstabel[[#This Row],[År]]=0,0,Tidstabel[[#This Row],[AP_Uds?]]*-AP_Enhedspris*AP_Genoprettelse*((1+Tidstabel[[#This Row],[Kalkulationsrente]])^-Tidstabel[[#This Row],[År]])*((1+PrisudviklingGenerelt)^Tidstabel[[#This Row],[År]]))),BlankTegn)</f>
        <v>.</v>
      </c>
      <c r="CB33" s="245">
        <f>IFERROR(IF(Tidstabel[[#This Row],[År]]&gt;Input_Tidshorisont,BlankTegn,
IF(Tidstabel[[#This Row],[År]]=0,-SK_Enhedspris,0)),BlankTegn)</f>
        <v>0</v>
      </c>
      <c r="CC33" s="245" t="str">
        <f>IFERROR(IF(Tidstabel[[#This Row],[År]]&gt;Input_Tidshorisont,BlankTegn,
IF(Tidstabel[[#This Row],[År]]=0,SK_Enhedspris/SK_Levetid,CC32*((1+Tidstabel[[#This Row],[Kalkulationsrente]])^-1)*((1+PrisudviklingGenerelt)^1))),BlankTegn)</f>
        <v>.</v>
      </c>
      <c r="CD33" s="178" t="str">
        <f ca="1">IFERROR(IF(Tidstabel[[#This Row],[År]]&gt;Input_Tidshorisont,BlankTegn,
IF(SK_Vedligehold_i=1,IF(Tidstabel[[#This Row],[SK_Uds?]]=0,1,0),IF(MAX(CD32:OFFSET(CE32,2-SK_Vedligehold_i,0),Tidstabel[[#This Row],[SK_Uds?]])=0,1,0))),BlankTegn)</f>
        <v>.</v>
      </c>
      <c r="CE33" s="178" t="str">
        <f>IFERROR(IF(Tidstabel[[#This Row],[År]]&gt;Input_Tidshorisont,BlankTegn,
IF(Tidstabel[[#This Row],[År]]=0,1,IF(MOD(Tidstabel[[#This Row],[År]],SK_Levetid)=0,1,IF(Tidstabel[[#This Row],[År]]=Input_Tidshorisont,0,0)))),BlankTegn)</f>
        <v>.</v>
      </c>
      <c r="CF33" s="245" t="str">
        <f ca="1">IFERROR(IF(Tidstabel[[#This Row],[År]]&gt;Input_Tidshorisont,BlankTegn,
SK_Vedligehold_p*-SK_Enhedspris*Tidstabel[[#This Row],[SK_Ved?]]*((1+Tidstabel[[#This Row],[Kalkulationsrente]])^-Tidstabel[[#This Row],[År]])*((1+PrisudviklingGenerelt)^Tidstabel[[#This Row],[År]])),BlankTegn)</f>
        <v>.</v>
      </c>
      <c r="CG33" s="245" t="str">
        <f>IFERROR(IF(Tidstabel[[#This Row],[År]]&gt;Input_Tidshorisont,BlankTegn,
IF(Tidstabel[[#This Row],[År]]=0,SK_Enhedspris,SUM(CG32:CH32)*((1+Tidstabel[[#This Row],[Kalkulationsrente]])^-1)*((1+PrisudviklingGenerelt)^1)-Tidstabel[[#This Row],[SK_Afskrivning]])),BlankTegn)</f>
        <v>.</v>
      </c>
      <c r="CH33" s="245" t="str">
        <f>IFERROR(IF(Tidstabel[[#This Row],[År]]&gt;Input_Tidshorisont,BlankTegn,
IF(Tidstabel[[#This Row],[År]]=0,0,Tidstabel[[#This Row],[SK_Uds?]]*SK_Enhedspris*((1+Tidstabel[[#This Row],[Kalkulationsrente]])^-Tidstabel[[#This Row],[År]])*((1+PrisudviklingGenerelt)^Tidstabel[[#This Row],[År]]))),BlankTegn)</f>
        <v>.</v>
      </c>
      <c r="CI33" s="262" t="str">
        <f>IFERROR(IF(Tidstabel[[#This Row],[År]]&gt;Input_Tidshorisont,BlankTegn,
IF(Tidstabel[[#This Row],[År]]=0,0,Tidstabel[[#This Row],[SK_Uds?]]*-SK_Enhedspris*SK_Genoprettelse*((1+Tidstabel[[#This Row],[Kalkulationsrente]])^-Tidstabel[[#This Row],[År]])*((1+PrisudviklingGenerelt)^Tidstabel[[#This Row],[År]]))),BlankTegn)</f>
        <v>.</v>
      </c>
      <c r="CJ33" s="19"/>
    </row>
    <row r="34" spans="1:88">
      <c r="A34" s="250">
        <v>27</v>
      </c>
      <c r="B34" s="250">
        <f>Input_Etableringsår+Tidstabel[[#This Row],[År]]</f>
        <v>2051</v>
      </c>
      <c r="C34" s="274" cm="1">
        <f t="array" ref="C34">_xlfn.IFS(Tidstabel[[#This Row],[År]]&gt;KR_Trin3_Tærskel,KR_Trin3_Rente,Tidstabel[[#This Row],[År]]&gt;KR_Trin2_Tærskel,KR_Trin2_Rente,Tidstabel[[#This Row],[År]]&gt;KR_Trin1_Tærskel,KR_Trin1_Rente,Tidstabel[[#This Row],[År]]&gt;KR_Trin0_Tærskel,KR_Trin0_Rente)</f>
        <v>3.5000000000000003E-2</v>
      </c>
      <c r="D34" s="142" t="str" cm="1">
        <f t="array" ref="D34">IFERROR(
INDEX(Range_Materiale_ÅrligeEmissioner,MATCH(1,(Materialedata[Komponent]=FB_Titel)*(Materialedata[Materiale]=FB_Materiale),0),MATCH(Tidstabel[[#This Row],[År]],Range_Materiale_År,0)),BlankTegn)</f>
        <v>.</v>
      </c>
      <c r="E34" s="142" t="str" cm="1">
        <f t="array" ref="E34">IFERROR(
INDEX(Range_Materiale_ÅrligeEmissioner,MATCH(1,(Materialedata[Komponent]=SK_Titel)*(Materialedata[Materiale]=SK_Materiale),0),MATCH(Tidstabel[[#This Row],[År]],Range_Materiale_År,0)),BlankTegn)</f>
        <v>.</v>
      </c>
      <c r="F34" s="142" t="str" cm="1">
        <f t="array" ref="F34">IFERROR(
INDEX(Range_Materiale_ÅrligeEmissioner,MATCH(1,(Materialedata[Komponent]=EI_Titel)*(Materialedata[Materiale]=EI_Materiale),0),MATCH(Tidstabel[[#This Row],[År]],Range_Materiale_År,0)),BlankTegn)</f>
        <v>.</v>
      </c>
      <c r="G34" s="142" t="str" cm="1">
        <f t="array" ref="G34">IFERROR(
INDEX(Range_Materiale_ÅrligeEmissioner,MATCH(1,(Materialedata[Komponent]=AP_Titel)*(Materialedata[Materiale]=AP_Materiale),0),MATCH(Tidstabel[[#This Row],[År]],Range_Materiale_År,0)),BlankTegn)</f>
        <v>.</v>
      </c>
      <c r="H34" s="142" t="str" cm="1">
        <f t="array" ref="H34">IFERROR(
INDEX(Range_Materiale_ÅrligeEmissioner,MATCH(1,(Materialedata[Komponent]=VS_Titel)*(Materialedata[Materiale]=VS_Materiale),0),MATCH(Tidstabel[[#This Row],[År]],Range_Materiale_År,0)),BlankTegn)</f>
        <v>.</v>
      </c>
      <c r="I34" s="142" t="str">
        <f>IFERROR(
IF(SUM(Tidstabel[[#This Row],[Facadebeklædning]:[Vindspærre]])=0,BlankTegn,
SUM(Tidstabel[[#This Row],[Facadebeklædning]:[Vindspærre]])),BlankTegn)</f>
        <v>.</v>
      </c>
      <c r="J34" s="139">
        <f>IF(Tidstabel[[#This Row],[År]]&gt;Input_Tidshorisont,BlankTegn,
A5_ElVarmeBrændstofByggeplads)</f>
        <v>0.25</v>
      </c>
      <c r="K34" s="142" t="str">
        <f>IFERROR(IF(Tidstabel[[#This Row],[År]]&gt;Input_Tidshorisont,BlankTegn,
-1*INDEX(Range_Energi_ÅrligBesparelse,MATCH(Input_EksisterendeFacade,Energiberegning[Ydervæg],0),MATCH(Tidstabel[[#This Row],[Årstal]],Range_Energi_Årstal,0))),BlankTegn)</f>
        <v>.</v>
      </c>
      <c r="L34" s="142">
        <f>IF(Tidstabel[[#This Row],[År]]&gt;Input_Tidshorisont,BlankTegn,
(Tidstabel[[#This Row],[År]]+1)*(SUM(Vedligeholdelsesmaterialer[Facadefarve],Vedligeholdelsesmaterialer[Grunder og mellemmaling])/12+SUM(Vedligeholdelsesmaterialer[Puds])/30))</f>
        <v>9.0959200033333332</v>
      </c>
      <c r="M34" s="142" t="str">
        <f>IFERROR(IF(Tidstabel[[#This Row],[År]]&gt;Input_Tidshorisont,BlankTegn,
Tidstabel[[#This Row],[Materialer_Total]]+Tidstabel[[#This Row],[Byggeprocess]]),BlankTegn)</f>
        <v>.</v>
      </c>
      <c r="N34" s="142" t="str">
        <f>IFERROR(IF(Tidstabel[[#This Row],[År]]&gt;Input_Tidshorisont,BlankTegn,
Tidstabel[[#This Row],[Energibesparelse]]+Tidstabel[[#This Row],[Emission_Brutto]]),BlankTegn)</f>
        <v>.</v>
      </c>
      <c r="O34" s="142" t="str">
        <f>IFERROR(IF(Tidstabel[[#This Row],[År]]&gt;Input_Tidshorisont,BlankTegn,
Tidstabel[[#This Row],[Emission_Netto]]-Tidstabel[[#This Row],[Vedligehold_EksisterendeFacade]]),BlankTegn)</f>
        <v>.</v>
      </c>
      <c r="P34" s="271" t="str">
        <f>IFERROR(IF(Tidstabel[[#This Row],[År]]&gt;Input_Tidshorisont,BlankTegn,
IF(AND(Tidstabel[[#This Row],[Emission_Netto]]-Tidstabel[[#This Row],[Vedligehold_EksisterendeFacade]]&gt;0,N35-L35&lt;0),-1,IF(AND(Tidstabel[[#This Row],[Emission_Netto]]-Tidstabel[[#This Row],[Vedligehold_EksisterendeFacade]]&lt;0,N35-L35&gt;0),1,0))),BlankTegn)</f>
        <v>.</v>
      </c>
      <c r="Q34" s="174" t="str">
        <f>IF(Tidstabel[[#This Row],[År]]&gt;Input_Tidshorisont,BlankTegn,
IF(Tidstabel[[#This Row],[LCA-Skæring]]=-1,SUM(Tidstabel[[#This Row],[År]]*(1-ABS(Tidstabel[[#This Row],[LCA-Difference]])/(ABS(Tidstabel[[#This Row],[LCA-Difference]])+ABS(O35))),A35*(1-ABS(O35)/(ABS(Tidstabel[[#This Row],[LCA-Difference]])+ABS(O35)))),"-"))</f>
        <v>-</v>
      </c>
      <c r="R34" s="174" t="str">
        <f>IF(Tidstabel[[#This Row],[År]]&gt;Input_Tidshorisont,BlankTegn,
IF(Tidstabel[[#This Row],[LCA-Skæring]]=-1,SUM(Tidstabel[[#This Row],[Emission_Netto]]*(1-ABS(Tidstabel[[#This Row],[LCA-Difference]])/(ABS(Tidstabel[[#This Row],[LCA-Difference]])+ABS(O35))),N35*(1-ABS(O35)/(ABS(Tidstabel[[#This Row],[LCA-Difference]])+ABS(O35)))),"-"))</f>
        <v>-</v>
      </c>
      <c r="S34" s="174" t="str">
        <f>IF(Tidstabel[[#This Row],[År]]&gt;Input_Tidshorisont,BlankTegn,
IF(Tidstabel[[#This Row],[LCA-Skæring]]=1,SUM(Tidstabel[[#This Row],[År]]*(1-ABS(Tidstabel[[#This Row],[LCA-Difference]])/(ABS(Tidstabel[[#This Row],[LCA-Difference]])+ABS(O35))),A35*(1-ABS(O35)/(ABS(Tidstabel[[#This Row],[LCA-Difference]])+ABS(O35)))),"-"))</f>
        <v>-</v>
      </c>
      <c r="T34" s="264" t="str">
        <f>IF(Tidstabel[[#This Row],[År]]&gt;Input_Tidshorisont,BlankTegn,
IF(Tidstabel[[#This Row],[LCA-Skæring]]=1,SUM(Tidstabel[[#This Row],[Emission_Netto]]*(1-ABS(Tidstabel[[#This Row],[LCA-Difference]])/(ABS(Tidstabel[[#This Row],[LCA-Difference]])+ABS(O35))),N35*(1-ABS(O35)/(ABS(Tidstabel[[#This Row],[LCA-Difference]])+ABS(O35)))),"-"))</f>
        <v>-</v>
      </c>
      <c r="U34" s="142" t="str">
        <f ca="1">IFERROR(IF(Tidstabel[[#This Row],[År]]&gt;Input_Tidshorisont,BlankTegn,
Tidstabel[[#This Row],[NPV_Klimafacade]]-Tidstabel[[#This Row],[NPV_Eksisterende]]),BlankTegn)</f>
        <v>.</v>
      </c>
      <c r="V34" s="271" t="str">
        <f ca="1">IFERROR(IF(Tidstabel[[#This Row],[År]]&gt;Input_Tidshorisont,BlankTegn,
IF(AND(Tidstabel[[#This Row],[NPV_Klimafacade]]-Tidstabel[[#This Row],[NPV_Eksisterende]]&gt;0,AB35-AA35&lt;0),1,IF(AND(Tidstabel[[#This Row],[NPV_Klimafacade]]-Tidstabel[[#This Row],[NPV_Eksisterende]]&lt;0,AB35-AA35&gt;0),-1,0))),BlankTegn)</f>
        <v>.</v>
      </c>
      <c r="W34" s="174" t="str">
        <f ca="1">IF(Tidstabel[[#This Row],[År]]&gt;Input_Tidshorisont,BlankTegn,
IF(Tidstabel[[#This Row],[LCC-Skæring]]=-1,SUM(Tidstabel[[#This Row],[År]]*(1-ABS(Tidstabel[[#This Row],[LCC-Difference]])/(ABS(Tidstabel[[#This Row],[LCC-Difference]])+ABS(U35))),A35*(1-ABS(U35)/(ABS(Tidstabel[[#This Row],[LCC-Difference]])+ABS(U35)))),"-"))</f>
        <v>-</v>
      </c>
      <c r="X34" s="174" t="str">
        <f ca="1">IF(Tidstabel[[#This Row],[År]]&gt;Input_Tidshorisont,BlankTegn,
IF(Tidstabel[[#This Row],[LCC-Skæring]]=-1,SUM(Tidstabel[[#This Row],[NPV_Klimafacade]]*(1-ABS(Tidstabel[[#This Row],[LCC-Difference]])/(ABS(Tidstabel[[#This Row],[LCC-Difference]])+ABS(U35))),AB35*(1-ABS(U35)/(ABS(Tidstabel[[#This Row],[LCC-Difference]])+ABS(U35)))),"-"))</f>
        <v>-</v>
      </c>
      <c r="Y34" s="174" t="str">
        <f ca="1">IF(Tidstabel[[#This Row],[År]]&gt;Input_Tidshorisont,BlankTegn,
IF(Tidstabel[[#This Row],[LCC-Skæring]]=1,SUM(Tidstabel[[#This Row],[År]]*(1-ABS(Tidstabel[[#This Row],[LCC-Difference]])/(ABS(Tidstabel[[#This Row],[LCC-Difference]])+ABS(U35))),A35*(1-ABS(U35)/(ABS(Tidstabel[[#This Row],[LCC-Difference]])+ABS(U35)))),"-"))</f>
        <v>-</v>
      </c>
      <c r="Z34" s="264" t="str">
        <f ca="1">IF(Tidstabel[[#This Row],[År]]&gt;Input_Tidshorisont,BlankTegn,
IF(Tidstabel[[#This Row],[LCC-Skæring]]=1,SUM(Tidstabel[[#This Row],[NPV_Klimafacade]]*(1-ABS(Tidstabel[[#This Row],[LCC-Difference]])/(ABS(Tidstabel[[#This Row],[LCC-Difference]])+ABS(U35))),AB35*(1-ABS(U35)/(ABS(Tidstabel[[#This Row],[LCC-Difference]])+ABS(U35)))),"-"))</f>
        <v>-</v>
      </c>
      <c r="AA34" s="142">
        <f ca="1">IF(Tidstabel[[#This Row],[År]]&gt;Input_Tidshorisont,BlankTegn,
Tidstabel[[#This Row],[EF_Vedligehold_Aggregeret]])</f>
        <v>-194.70774491103987</v>
      </c>
      <c r="AB34"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34" s="142" t="str">
        <f>IFERROR(IF(Tidstabel[[#This Row],[År]]&gt;Input_Tidshorisont,BlankTegn,
Tidstabel[[#This Row],[KF_Anskaffelse_Aggregeret]]+Tidstabel[[#This Row],[KF_Engangsudgifter_Aggregeret]]),BlankTegn)</f>
        <v>.</v>
      </c>
      <c r="AD34" s="174">
        <f ca="1">IFERROR(IF(Tidstabel[[#This Row],[År]]&gt;Input_Tidshorisont,BlankTegn,
IF(Tidstabel[[#This Row],[År]]=0,0,Tidstabel[[#This Row],[NPV_Eksisterende]]*(Tidstabel[[#This Row],[Kalkulationsrente]]/(1-(1+Tidstabel[[#This Row],[Kalkulationsrente]])^-Tidstabel[[#This Row],[År]])))),BlankTegn)</f>
        <v>-11.264312352240481</v>
      </c>
      <c r="AE34" s="264" t="str">
        <f ca="1">IFERROR(IF(Tidstabel[[#This Row],[År]]&gt;Input_Tidshorisont,BlankTegn,
IF(Tidstabel[[#This Row],[År]]=0,0,Tidstabel[[#This Row],[NPV_Klimafacade]]*(Tidstabel[[#This Row],[Kalkulationsrente]]/(1-(1+Tidstabel[[#This Row],[Kalkulationsrente]])^-Tidstabel[[#This Row],[År]])))),BlankTegn)</f>
        <v>.</v>
      </c>
      <c r="AF34" s="270">
        <f ca="1">IF(Tidstabel[[#This Row],[År]]&gt;Input_Tidshorisont,BlankTegn,
IF(EF_Vedligehold_i=1,IF(Tidstabel[[#This Row],[EF_Uds?]]=0,1,0),IF(MAX(AF33:OFFSET(AG33,2-EF_Vedligehold_i,0),Tidstabel[[#This Row],[EF_Uds?]])=0,1,0)))</f>
        <v>1</v>
      </c>
      <c r="AG34" s="181">
        <f>IF(Tidstabel[[#This Row],[År]]&gt;Input_Tidshorisont,BlankTegn,0)</f>
        <v>0</v>
      </c>
      <c r="AH34" s="263">
        <f ca="1">IF(Tidstabel[[#This Row],[År]]&gt;Input_Tidshorisont,BlankTegn,
Tidstabel[[#This Row],[EF_Ved?]]*EF_Vedligehold_p*-EF_Enhedspris*((1+Tidstabel[[#This Row],[Kalkulationsrente]])^-Tidstabel[[#This Row],[År]])*((1+PrisudviklingGenerelt)^Tidstabel[[#This Row],[År]]))</f>
        <v>-4.206202336848599</v>
      </c>
      <c r="AI34" s="262">
        <f ca="1">IF(Tidstabel[[#This Row],[År]]&gt;Input_Tidshorisont,BlankTegn,
IF(Tidstabel[[#This Row],[År]]=0,Tidstabel[[#This Row],[EF_Vedligehold]],AI33+Tidstabel[[#This Row],[EF_Vedligehold]]))</f>
        <v>-194.70774491103987</v>
      </c>
      <c r="AJ34" s="245">
        <f>IFERROR(IF(Tidstabel[[#This Row],[År]]&gt;Input_Tidshorisont,BlankTegn,
Tidstabel[[#This Row],[FB_Anskaffelse]]+Tidstabel[[#This Row],[VS_Anskaffelse]]+Tidstabel[[#This Row],[EI_Anskaffelse]]+Tidstabel[[#This Row],[AP_Anskaffelse]]+Tidstabel[[#This Row],[SK_Anskaffelse]]),BlankTegn)</f>
        <v>0</v>
      </c>
      <c r="AK34" s="245" t="str">
        <f>IFERROR(IF(Tidstabel[[#This Row],[År]]&gt;Input_Tidshorisont,BlankTegn,
IF(Tidstabel[[#This Row],[År]]=0,Tidstabel[[#This Row],[KF_Anskaffelse]],AK33+Tidstabel[[#This Row],[KF_Anskaffelse]])),BlankTegn)</f>
        <v>.</v>
      </c>
      <c r="AL34" s="246" t="str">
        <f ca="1">IFERROR(IF(Tidstabel[[#This Row],[År]]&gt;Input_Tidshorisont,BlankTegn,
Tidstabel[[#This Row],[FB_Vedligehold]]+Tidstabel[[#This Row],[VS_Vedligehold]]+Tidstabel[[#This Row],[EI_Vedligehold]]+Tidstabel[[#This Row],[AP_Vedligehold]]+Tidstabel[[#This Row],[SK_Vedligehold]]),BlankTegn)</f>
        <v>.</v>
      </c>
      <c r="AM34" s="245" t="str">
        <f ca="1">IFERROR(IF(Tidstabel[[#This Row],[År]]&gt;Input_Tidshorisont,BlankTegn,
IF(Tidstabel[[#This Row],[År]]=0,Tidstabel[[#This Row],[KF_Vedligehold]],AM33+Tidstabel[[#This Row],[KF_Vedligehold]])),BlankTegn)</f>
        <v>.</v>
      </c>
      <c r="AN34"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34"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34" s="245" t="str">
        <f>IFERROR(IF(Tidstabel[[#This Row],[År]]&gt;Input_Tidshorisont,BlankTegn,
IF(Tidstabel[[#This Row],[År]]=0,Tidstabel[[#This Row],[KF_Udskiftning_Komponent]],AP33+Tidstabel[[#This Row],[KF_Udskiftning_Komponent]])),BlankTegn)</f>
        <v>.</v>
      </c>
      <c r="AQ34" s="245">
        <f>IF(Tidstabel[[#This Row],[År]]&gt;Input_Tidshorisont,BlankTegn,
IF(Tidstabel[[#This Row],[År]]=0,-SUM(Engangsudgifter[Udgift]),0))</f>
        <v>0</v>
      </c>
      <c r="AR34" s="245">
        <f>IFERROR(IF(Tidstabel[[#This Row],[År]]&gt;Input_Tidshorisont,BlankTegn,
IF(Tidstabel[[#This Row],[År]]=0,Tidstabel[[#This Row],[KF_Engangsudgifter]],AR33+Tidstabel[[#This Row],[KF_Engangsudgifter]])),BlankTegn)</f>
        <v>0</v>
      </c>
      <c r="AS34" s="315" t="str">
        <f>IFERROR(IF(Tidstabel[[#This Row],[År]]&gt;Input_Tidshorisont,BlankTegn,
-Energibesparelse_Årlig),BlankTegn)</f>
        <v>.</v>
      </c>
      <c r="AT34" s="245" t="str">
        <f>IFERROR(IF(Tidstabel[[#This Row],[År]]&gt;Input_Tidshorisont,BlankTegn,
IF(Tidstabel[[#This Row],[År]]=0,0,-Tidstabel[[#This Row],[KF_Energiforbrug]]*Input_Fjernvarmepris*((1+Tidstabel[[#This Row],[Kalkulationsrente]])^-Tidstabel[[#This Row],[År]])*((1+PrisudviklingFjernvarme)^Tidstabel[[#This Row],[År]]))),BlankTegn)</f>
        <v>.</v>
      </c>
      <c r="AU34" s="262" t="str">
        <f>IFERROR(IF(Tidstabel[[#This Row],[År]]&gt;Input_Tidshorisont,BlankTegn,
IF(Tidstabel[[#This Row],[År]]=0,Tidstabel[[#This Row],[KF_Forsyning]],AU33+Tidstabel[[#This Row],[KF_Forsyning]])),BlankTegn)</f>
        <v>.</v>
      </c>
      <c r="AV34" s="245">
        <f>IFERROR(IF(Tidstabel[[#This Row],[År]]&gt;Input_Tidshorisont,BlankTegn,
IF(Tidstabel[[#This Row],[År]]=0,-FB_Enhedspris,0)),BlankTegn)</f>
        <v>0</v>
      </c>
      <c r="AW34" s="245" t="str">
        <f>IFERROR(IF(Tidstabel[[#This Row],[År]]&gt;Input_Tidshorisont,BlankTegn,
IF(Tidstabel[[#This Row],[År]]=0,FB_Enhedspris/FB_Levetid,AW33*((1+Tidstabel[[#This Row],[Kalkulationsrente]])^-1)*((1+PrisudviklingGenerelt)^1))),BlankTegn)</f>
        <v>.</v>
      </c>
      <c r="AX34" s="178" t="str">
        <f ca="1">IFERROR(IF(Tidstabel[[#This Row],[År]]&gt;Input_Tidshorisont,BlankTegn,
IF(FB_Vedligehold_i=1,IF(Tidstabel[[#This Row],[FB_Uds?]]=0,1,0),IF(MAX(AX33:OFFSET(AY33,2-FB_Vedligehold_i,0),Tidstabel[[#This Row],[FB_Uds?]])=0,1,0))),BlankTegn)</f>
        <v>.</v>
      </c>
      <c r="AY34" s="178" t="str">
        <f>IFERROR(IF(Tidstabel[[#This Row],[År]]&gt;Input_Tidshorisont,BlankTegn,
IF(Tidstabel[[#This Row],[År]]=0,1,IF(MOD(Tidstabel[[#This Row],[År]],FB_Levetid)=0,1,IF(Tidstabel[[#This Row],[År]]=Input_Tidshorisont,0,0)))),BlankTegn)</f>
        <v>.</v>
      </c>
      <c r="AZ34" s="245" t="str">
        <f ca="1">IFERROR(IF(Tidstabel[[#This Row],[År]]&gt;Input_Tidshorisont,BlankTegn,
FB_Vedligehold_p*-FB_Enhedspris*Tidstabel[[#This Row],[FB_Ved?]]*((1+Tidstabel[[#This Row],[Kalkulationsrente]])^-Tidstabel[[#This Row],[År]])*((1+PrisudviklingGenerelt)^Tidstabel[[#This Row],[År]])),BlankTegn)</f>
        <v>.</v>
      </c>
      <c r="BA34" s="245" t="str">
        <f>IFERROR(IF(Tidstabel[[#This Row],[År]]&gt;Input_Tidshorisont,BlankTegn,
IF(Tidstabel[[#This Row],[År]]=0,FB_Enhedspris,SUM(BA33:BB33)*((1+Tidstabel[[#This Row],[Kalkulationsrente]])^-1)*((1+PrisudviklingGenerelt)^1)-Tidstabel[[#This Row],[FB_Afskrivning]])),BlankTegn)</f>
        <v>.</v>
      </c>
      <c r="BB34" s="245" t="str">
        <f>IFERROR(IF(Tidstabel[[#This Row],[År]]&gt;Input_Tidshorisont,BlankTegn,
IF(Tidstabel[[#This Row],[År]]=0,0,Tidstabel[[#This Row],[FB_Uds?]]*FB_Enhedspris*((1+Tidstabel[[#This Row],[Kalkulationsrente]])^-Tidstabel[[#This Row],[År]])*((1+PrisudviklingGenerelt)^Tidstabel[[#This Row],[År]]))),BlankTegn)</f>
        <v>.</v>
      </c>
      <c r="BC34" s="262" t="str">
        <f>IFERROR(IF(Tidstabel[[#This Row],[År]]&gt;Input_Tidshorisont,BlankTegn,
IF(Tidstabel[[#This Row],[År]]=0,0,Tidstabel[[#This Row],[FB_Uds?]]*-FB_Enhedspris*FB_Genoprettelse*((1+Tidstabel[[#This Row],[Kalkulationsrente]])^-Tidstabel[[#This Row],[År]])*((1+PrisudviklingGenerelt)^Tidstabel[[#This Row],[År]]))),BlankTegn)</f>
        <v>.</v>
      </c>
      <c r="BD34" s="245">
        <f>IFERROR(IF(Tidstabel[[#This Row],[År]]&gt;Input_Tidshorisont,BlankTegn,
IF(Tidstabel[[#This Row],[År]]=0,-VS_Enhedspris,0)),BlankTegn)</f>
        <v>0</v>
      </c>
      <c r="BE34" s="245" t="str">
        <f>IFERROR(IF(Tidstabel[[#This Row],[År]]&gt;Input_Tidshorisont,BlankTegn,
IF(Tidstabel[[#This Row],[År]]=0,VS_Enhedspris/VS_Levetid,BE33*((1+Tidstabel[[#This Row],[Kalkulationsrente]])^-1)*((1+PrisudviklingGenerelt)^1))),BlankTegn)</f>
        <v>.</v>
      </c>
      <c r="BF34" s="178" t="str">
        <f ca="1">IFERROR(IF(Tidstabel[[#This Row],[År]]&gt;Input_Tidshorisont,BlankTegn,
IF(VS_Vedligehold_i=1,IF(Tidstabel[[#This Row],[VS_Uds?]]=0,1,0),IF(MAX(BF33:OFFSET(BG33,2-VS_Vedligehold_i,0),Tidstabel[[#This Row],[VS_Uds?]])=0,1,0))),BlankTegn)</f>
        <v>.</v>
      </c>
      <c r="BG34" s="178" t="str">
        <f>IFERROR(IF(Tidstabel[[#This Row],[År]]&gt;Input_Tidshorisont,BlankTegn,
IF(Tidstabel[[#This Row],[År]]=0,1,IF(MOD(Tidstabel[[#This Row],[År]],VS_Levetid)=0,1,IF(Tidstabel[[#This Row],[År]]=Input_Tidshorisont,0,0)))),BlankTegn)</f>
        <v>.</v>
      </c>
      <c r="BH34" s="245" t="str">
        <f ca="1">IFERROR(IF(Tidstabel[[#This Row],[År]]&gt;Input_Tidshorisont,BlankTegn,
VS_Vedligehold_p*-VS_Enhedspris*Tidstabel[[#This Row],[VS_Ved?]]*((1+Tidstabel[[#This Row],[Kalkulationsrente]])^-Tidstabel[[#This Row],[År]])*((1+PrisudviklingGenerelt)^Tidstabel[[#This Row],[År]])),BlankTegn)</f>
        <v>.</v>
      </c>
      <c r="BI34" s="245" t="str">
        <f>IFERROR(IF(Tidstabel[[#This Row],[År]]&gt;Input_Tidshorisont,BlankTegn,
IF(Tidstabel[[#This Row],[År]]=0,VS_Enhedspris,SUM(BI33:BJ33)*((1+Tidstabel[[#This Row],[Kalkulationsrente]])^-1)*((1+PrisudviklingGenerelt)^1)-Tidstabel[[#This Row],[VS_Afskrivning]])),BlankTegn)</f>
        <v>.</v>
      </c>
      <c r="BJ34" s="245" t="str">
        <f>IFERROR(IF(Tidstabel[[#This Row],[År]]&gt;Input_Tidshorisont,BlankTegn,
IF(Tidstabel[[#This Row],[År]]=0,0,Tidstabel[[#This Row],[VS_Uds?]]*VS_Enhedspris*((1+Tidstabel[[#This Row],[Kalkulationsrente]])^-Tidstabel[[#This Row],[År]])*((1+PrisudviklingGenerelt)^Tidstabel[[#This Row],[År]]))),BlankTegn)</f>
        <v>.</v>
      </c>
      <c r="BK34" s="262" t="str">
        <f>IFERROR(IF(Tidstabel[[#This Row],[År]]&gt;Input_Tidshorisont,BlankTegn,
IF(Tidstabel[[#This Row],[År]]=0,0,Tidstabel[[#This Row],[VS_Uds?]]*-VS_Enhedspris*VS_Genoprettelse*((1+Tidstabel[[#This Row],[Kalkulationsrente]])^-Tidstabel[[#This Row],[År]])*((1+PrisudviklingGenerelt)^Tidstabel[[#This Row],[År]]))),BlankTegn)</f>
        <v>.</v>
      </c>
      <c r="BL34" s="245">
        <f>IFERROR(IF(Tidstabel[[#This Row],[År]]&gt;Input_Tidshorisont,BlankTegn,
IF(Tidstabel[[#This Row],[År]]=0,-EI_Enhedspris,0)),BlankTegn)</f>
        <v>0</v>
      </c>
      <c r="BM34" s="245" t="str">
        <f>IFERROR(IF(Tidstabel[[#This Row],[År]]&gt;Input_Tidshorisont,BlankTegn,
IF(Tidstabel[[#This Row],[År]]=0,EI_Enhedspris/EI_Levetid,BM33*((1+Tidstabel[[#This Row],[Kalkulationsrente]])^-1)*((1+PrisudviklingGenerelt)^1))),BlankTegn)</f>
        <v>.</v>
      </c>
      <c r="BN34" s="178" t="str">
        <f ca="1">IFERROR(IF(Tidstabel[[#This Row],[År]]&gt;Input_Tidshorisont,BlankTegn,
IF(EI_Vedligehold_i=1,IF(Tidstabel[[#This Row],[EI_Uds?]]=0,1,0),IF(MAX(BN33:OFFSET(BO33,2-EI_Vedligehold_i,0),Tidstabel[[#This Row],[EI_Uds?]])=0,1,0))),BlankTegn)</f>
        <v>.</v>
      </c>
      <c r="BO34" s="178" t="str">
        <f>IFERROR(IF(Tidstabel[[#This Row],[År]]&gt;Input_Tidshorisont,BlankTegn,
IF(Tidstabel[[#This Row],[År]]=0,1,IF(MOD(Tidstabel[[#This Row],[År]],EI_Levetid)=0,1,IF(Tidstabel[[#This Row],[År]]=Input_Tidshorisont,0,0)))),BlankTegn)</f>
        <v>.</v>
      </c>
      <c r="BP34" s="245" t="str">
        <f ca="1">IFERROR(IF(Tidstabel[[#This Row],[År]]&gt;Input_Tidshorisont,BlankTegn,
EI_Vedligehold_p*-EI_Enhedspris*Tidstabel[[#This Row],[EI_Ved?]]*((1+Tidstabel[[#This Row],[Kalkulationsrente]])^-Tidstabel[[#This Row],[År]])*((1+PrisudviklingGenerelt)^Tidstabel[[#This Row],[År]])),BlankTegn)</f>
        <v>.</v>
      </c>
      <c r="BQ34" s="245" t="str">
        <f>IFERROR(IF(Tidstabel[[#This Row],[År]]&gt;Input_Tidshorisont,BlankTegn,
IF(Tidstabel[[#This Row],[År]]=0,EI_Enhedspris,SUM(BQ33:BR33)*((1+Tidstabel[[#This Row],[Kalkulationsrente]])^-1)*((1+PrisudviklingGenerelt)^1)-Tidstabel[[#This Row],[EI_Afskrivning]])),BlankTegn)</f>
        <v>.</v>
      </c>
      <c r="BR34" s="245" t="str">
        <f>IFERROR(IF(Tidstabel[[#This Row],[År]]&gt;Input_Tidshorisont,BlankTegn,
IF(Tidstabel[[#This Row],[År]]=0,0,Tidstabel[[#This Row],[EI_Uds?]]*EI_Enhedspris*((1+Tidstabel[[#This Row],[Kalkulationsrente]])^-Tidstabel[[#This Row],[År]])*((1+PrisudviklingGenerelt)^Tidstabel[[#This Row],[År]]))),BlankTegn)</f>
        <v>.</v>
      </c>
      <c r="BS34" s="262" t="str">
        <f>IFERROR(IF(Tidstabel[[#This Row],[År]]&gt;Input_Tidshorisont,BlankTegn,
IF(Tidstabel[[#This Row],[År]]=0,0,Tidstabel[[#This Row],[EI_Uds?]]*-EI_Enhedspris*EI_Genoprettelse*((1+Tidstabel[[#This Row],[Kalkulationsrente]])^-Tidstabel[[#This Row],[År]])*((1+PrisudviklingGenerelt)^Tidstabel[[#This Row],[År]]))),BlankTegn)</f>
        <v>.</v>
      </c>
      <c r="BT34" s="245">
        <f>IFERROR(IF(Tidstabel[[#This Row],[År]]&gt;Input_Tidshorisont,BlankTegn,
IF(Tidstabel[[#This Row],[År]]=0,-AP_Enhedspris,0)),BlankTegn)</f>
        <v>0</v>
      </c>
      <c r="BU34" s="245" t="str">
        <f>IFERROR(IF(Tidstabel[[#This Row],[År]]&gt;Input_Tidshorisont,BlankTegn,
IF(Tidstabel[[#This Row],[År]]=0,AP_Enhedspris/AP_Levetid,BU33*((1+Tidstabel[[#This Row],[Kalkulationsrente]])^-1)*((1+PrisudviklingGenerelt)^1))),BlankTegn)</f>
        <v>.</v>
      </c>
      <c r="BV34" s="178" t="str">
        <f ca="1">IFERROR(IF(Tidstabel[[#This Row],[År]]&gt;Input_Tidshorisont,BlankTegn,
IF(AP_Vedligehold_i=1,IF(Tidstabel[[#This Row],[AP_Uds?]]=0,1,0),IF(MAX(BV33:OFFSET(BW33,2-AP_Vedligehold_i,0),Tidstabel[[#This Row],[AP_Uds?]])=0,1,0))),BlankTegn)</f>
        <v>.</v>
      </c>
      <c r="BW34" s="178" t="str">
        <f>IFERROR(IF(Tidstabel[[#This Row],[År]]&gt;Input_Tidshorisont,BlankTegn,
IF(Tidstabel[[#This Row],[År]]=0,1,IF(MOD(Tidstabel[[#This Row],[År]],AP_Levetid)=0,1,IF(Tidstabel[[#This Row],[År]]=Input_Tidshorisont,0,0)))),BlankTegn)</f>
        <v>.</v>
      </c>
      <c r="BX34" s="245" t="str">
        <f ca="1">IFERROR(IF(Tidstabel[[#This Row],[År]]&gt;Input_Tidshorisont,BlankTegn,
AP_Vedligehold_p*-AP_Enhedspris*Tidstabel[[#This Row],[AP_Ved?]]*((1+Tidstabel[[#This Row],[Kalkulationsrente]])^-Tidstabel[[#This Row],[År]])*((1+PrisudviklingGenerelt)^Tidstabel[[#This Row],[År]])),BlankTegn)</f>
        <v>.</v>
      </c>
      <c r="BY34" s="245" t="str">
        <f>IFERROR(IF(Tidstabel[[#This Row],[År]]&gt;Input_Tidshorisont,BlankTegn,
IF(Tidstabel[[#This Row],[År]]=0,AP_Enhedspris,SUM(BY33:BZ33)*((1+Tidstabel[[#This Row],[Kalkulationsrente]])^-1)*((1+PrisudviklingGenerelt)^1)-Tidstabel[[#This Row],[AP_Afskrivning]])),BlankTegn)</f>
        <v>.</v>
      </c>
      <c r="BZ34" s="245" t="str">
        <f>IFERROR(IF(Tidstabel[[#This Row],[År]]&gt;Input_Tidshorisont,BlankTegn,
IF(Tidstabel[[#This Row],[År]]=0,0,Tidstabel[[#This Row],[AP_Uds?]]*AP_Enhedspris*((1+Tidstabel[[#This Row],[Kalkulationsrente]])^-Tidstabel[[#This Row],[År]])*((1+PrisudviklingGenerelt)^Tidstabel[[#This Row],[År]]))),BlankTegn)</f>
        <v>.</v>
      </c>
      <c r="CA34" s="262" t="str">
        <f>IFERROR(IF(Tidstabel[[#This Row],[År]]&gt;Input_Tidshorisont,BlankTegn,
IF(Tidstabel[[#This Row],[År]]=0,0,Tidstabel[[#This Row],[AP_Uds?]]*-AP_Enhedspris*AP_Genoprettelse*((1+Tidstabel[[#This Row],[Kalkulationsrente]])^-Tidstabel[[#This Row],[År]])*((1+PrisudviklingGenerelt)^Tidstabel[[#This Row],[År]]))),BlankTegn)</f>
        <v>.</v>
      </c>
      <c r="CB34" s="245">
        <f>IFERROR(IF(Tidstabel[[#This Row],[År]]&gt;Input_Tidshorisont,BlankTegn,
IF(Tidstabel[[#This Row],[År]]=0,-SK_Enhedspris,0)),BlankTegn)</f>
        <v>0</v>
      </c>
      <c r="CC34" s="245" t="str">
        <f>IFERROR(IF(Tidstabel[[#This Row],[År]]&gt;Input_Tidshorisont,BlankTegn,
IF(Tidstabel[[#This Row],[År]]=0,SK_Enhedspris/SK_Levetid,CC33*((1+Tidstabel[[#This Row],[Kalkulationsrente]])^-1)*((1+PrisudviklingGenerelt)^1))),BlankTegn)</f>
        <v>.</v>
      </c>
      <c r="CD34" s="178" t="str">
        <f ca="1">IFERROR(IF(Tidstabel[[#This Row],[År]]&gt;Input_Tidshorisont,BlankTegn,
IF(SK_Vedligehold_i=1,IF(Tidstabel[[#This Row],[SK_Uds?]]=0,1,0),IF(MAX(CD33:OFFSET(CE33,2-SK_Vedligehold_i,0),Tidstabel[[#This Row],[SK_Uds?]])=0,1,0))),BlankTegn)</f>
        <v>.</v>
      </c>
      <c r="CE34" s="178" t="str">
        <f>IFERROR(IF(Tidstabel[[#This Row],[År]]&gt;Input_Tidshorisont,BlankTegn,
IF(Tidstabel[[#This Row],[År]]=0,1,IF(MOD(Tidstabel[[#This Row],[År]],SK_Levetid)=0,1,IF(Tidstabel[[#This Row],[År]]=Input_Tidshorisont,0,0)))),BlankTegn)</f>
        <v>.</v>
      </c>
      <c r="CF34" s="245" t="str">
        <f ca="1">IFERROR(IF(Tidstabel[[#This Row],[År]]&gt;Input_Tidshorisont,BlankTegn,
SK_Vedligehold_p*-SK_Enhedspris*Tidstabel[[#This Row],[SK_Ved?]]*((1+Tidstabel[[#This Row],[Kalkulationsrente]])^-Tidstabel[[#This Row],[År]])*((1+PrisudviklingGenerelt)^Tidstabel[[#This Row],[År]])),BlankTegn)</f>
        <v>.</v>
      </c>
      <c r="CG34" s="245" t="str">
        <f>IFERROR(IF(Tidstabel[[#This Row],[År]]&gt;Input_Tidshorisont,BlankTegn,
IF(Tidstabel[[#This Row],[År]]=0,SK_Enhedspris,SUM(CG33:CH33)*((1+Tidstabel[[#This Row],[Kalkulationsrente]])^-1)*((1+PrisudviklingGenerelt)^1)-Tidstabel[[#This Row],[SK_Afskrivning]])),BlankTegn)</f>
        <v>.</v>
      </c>
      <c r="CH34" s="245" t="str">
        <f>IFERROR(IF(Tidstabel[[#This Row],[År]]&gt;Input_Tidshorisont,BlankTegn,
IF(Tidstabel[[#This Row],[År]]=0,0,Tidstabel[[#This Row],[SK_Uds?]]*SK_Enhedspris*((1+Tidstabel[[#This Row],[Kalkulationsrente]])^-Tidstabel[[#This Row],[År]])*((1+PrisudviklingGenerelt)^Tidstabel[[#This Row],[År]]))),BlankTegn)</f>
        <v>.</v>
      </c>
      <c r="CI34" s="262" t="str">
        <f>IFERROR(IF(Tidstabel[[#This Row],[År]]&gt;Input_Tidshorisont,BlankTegn,
IF(Tidstabel[[#This Row],[År]]=0,0,Tidstabel[[#This Row],[SK_Uds?]]*-SK_Enhedspris*SK_Genoprettelse*((1+Tidstabel[[#This Row],[Kalkulationsrente]])^-Tidstabel[[#This Row],[År]])*((1+PrisudviklingGenerelt)^Tidstabel[[#This Row],[År]]))),BlankTegn)</f>
        <v>.</v>
      </c>
      <c r="CJ34" s="19"/>
    </row>
    <row r="35" spans="1:88">
      <c r="A35" s="250">
        <v>28</v>
      </c>
      <c r="B35" s="250">
        <f>Input_Etableringsår+Tidstabel[[#This Row],[År]]</f>
        <v>2052</v>
      </c>
      <c r="C35" s="274" cm="1">
        <f t="array" ref="C35">_xlfn.IFS(Tidstabel[[#This Row],[År]]&gt;KR_Trin3_Tærskel,KR_Trin3_Rente,Tidstabel[[#This Row],[År]]&gt;KR_Trin2_Tærskel,KR_Trin2_Rente,Tidstabel[[#This Row],[År]]&gt;KR_Trin1_Tærskel,KR_Trin1_Rente,Tidstabel[[#This Row],[År]]&gt;KR_Trin0_Tærskel,KR_Trin0_Rente)</f>
        <v>3.5000000000000003E-2</v>
      </c>
      <c r="D35" s="142" t="str" cm="1">
        <f t="array" ref="D35">IFERROR(
INDEX(Range_Materiale_ÅrligeEmissioner,MATCH(1,(Materialedata[Komponent]=FB_Titel)*(Materialedata[Materiale]=FB_Materiale),0),MATCH(Tidstabel[[#This Row],[År]],Range_Materiale_År,0)),BlankTegn)</f>
        <v>.</v>
      </c>
      <c r="E35" s="142" t="str" cm="1">
        <f t="array" ref="E35">IFERROR(
INDEX(Range_Materiale_ÅrligeEmissioner,MATCH(1,(Materialedata[Komponent]=SK_Titel)*(Materialedata[Materiale]=SK_Materiale),0),MATCH(Tidstabel[[#This Row],[År]],Range_Materiale_År,0)),BlankTegn)</f>
        <v>.</v>
      </c>
      <c r="F35" s="142" t="str" cm="1">
        <f t="array" ref="F35">IFERROR(
INDEX(Range_Materiale_ÅrligeEmissioner,MATCH(1,(Materialedata[Komponent]=EI_Titel)*(Materialedata[Materiale]=EI_Materiale),0),MATCH(Tidstabel[[#This Row],[År]],Range_Materiale_År,0)),BlankTegn)</f>
        <v>.</v>
      </c>
      <c r="G35" s="142" t="str" cm="1">
        <f t="array" ref="G35">IFERROR(
INDEX(Range_Materiale_ÅrligeEmissioner,MATCH(1,(Materialedata[Komponent]=AP_Titel)*(Materialedata[Materiale]=AP_Materiale),0),MATCH(Tidstabel[[#This Row],[År]],Range_Materiale_År,0)),BlankTegn)</f>
        <v>.</v>
      </c>
      <c r="H35" s="142" t="str" cm="1">
        <f t="array" ref="H35">IFERROR(
INDEX(Range_Materiale_ÅrligeEmissioner,MATCH(1,(Materialedata[Komponent]=VS_Titel)*(Materialedata[Materiale]=VS_Materiale),0),MATCH(Tidstabel[[#This Row],[År]],Range_Materiale_År,0)),BlankTegn)</f>
        <v>.</v>
      </c>
      <c r="I35" s="142" t="str">
        <f>IFERROR(
IF(SUM(Tidstabel[[#This Row],[Facadebeklædning]:[Vindspærre]])=0,BlankTegn,
SUM(Tidstabel[[#This Row],[Facadebeklædning]:[Vindspærre]])),BlankTegn)</f>
        <v>.</v>
      </c>
      <c r="J35" s="139">
        <f>IF(Tidstabel[[#This Row],[År]]&gt;Input_Tidshorisont,BlankTegn,
A5_ElVarmeBrændstofByggeplads)</f>
        <v>0.25</v>
      </c>
      <c r="K35" s="142" t="str">
        <f>IFERROR(IF(Tidstabel[[#This Row],[År]]&gt;Input_Tidshorisont,BlankTegn,
-1*INDEX(Range_Energi_ÅrligBesparelse,MATCH(Input_EksisterendeFacade,Energiberegning[Ydervæg],0),MATCH(Tidstabel[[#This Row],[Årstal]],Range_Energi_Årstal,0))),BlankTegn)</f>
        <v>.</v>
      </c>
      <c r="L35" s="142">
        <f>IF(Tidstabel[[#This Row],[År]]&gt;Input_Tidshorisont,BlankTegn,
(Tidstabel[[#This Row],[År]]+1)*(SUM(Vedligeholdelsesmaterialer[Facadefarve],Vedligeholdelsesmaterialer[Grunder og mellemmaling])/12+SUM(Vedligeholdelsesmaterialer[Puds])/30))</f>
        <v>9.4207742891666655</v>
      </c>
      <c r="M35" s="142" t="str">
        <f>IFERROR(IF(Tidstabel[[#This Row],[År]]&gt;Input_Tidshorisont,BlankTegn,
Tidstabel[[#This Row],[Materialer_Total]]+Tidstabel[[#This Row],[Byggeprocess]]),BlankTegn)</f>
        <v>.</v>
      </c>
      <c r="N35" s="142" t="str">
        <f>IFERROR(IF(Tidstabel[[#This Row],[År]]&gt;Input_Tidshorisont,BlankTegn,
Tidstabel[[#This Row],[Energibesparelse]]+Tidstabel[[#This Row],[Emission_Brutto]]),BlankTegn)</f>
        <v>.</v>
      </c>
      <c r="O35" s="142" t="str">
        <f>IFERROR(IF(Tidstabel[[#This Row],[År]]&gt;Input_Tidshorisont,BlankTegn,
Tidstabel[[#This Row],[Emission_Netto]]-Tidstabel[[#This Row],[Vedligehold_EksisterendeFacade]]),BlankTegn)</f>
        <v>.</v>
      </c>
      <c r="P35" s="271" t="str">
        <f>IFERROR(IF(Tidstabel[[#This Row],[År]]&gt;Input_Tidshorisont,BlankTegn,
IF(AND(Tidstabel[[#This Row],[Emission_Netto]]-Tidstabel[[#This Row],[Vedligehold_EksisterendeFacade]]&gt;0,N36-L36&lt;0),-1,IF(AND(Tidstabel[[#This Row],[Emission_Netto]]-Tidstabel[[#This Row],[Vedligehold_EksisterendeFacade]]&lt;0,N36-L36&gt;0),1,0))),BlankTegn)</f>
        <v>.</v>
      </c>
      <c r="Q35" s="174" t="str">
        <f>IF(Tidstabel[[#This Row],[År]]&gt;Input_Tidshorisont,BlankTegn,
IF(Tidstabel[[#This Row],[LCA-Skæring]]=-1,SUM(Tidstabel[[#This Row],[År]]*(1-ABS(Tidstabel[[#This Row],[LCA-Difference]])/(ABS(Tidstabel[[#This Row],[LCA-Difference]])+ABS(O36))),A36*(1-ABS(O36)/(ABS(Tidstabel[[#This Row],[LCA-Difference]])+ABS(O36)))),"-"))</f>
        <v>-</v>
      </c>
      <c r="R35" s="174" t="str">
        <f>IF(Tidstabel[[#This Row],[År]]&gt;Input_Tidshorisont,BlankTegn,
IF(Tidstabel[[#This Row],[LCA-Skæring]]=-1,SUM(Tidstabel[[#This Row],[Emission_Netto]]*(1-ABS(Tidstabel[[#This Row],[LCA-Difference]])/(ABS(Tidstabel[[#This Row],[LCA-Difference]])+ABS(O36))),N36*(1-ABS(O36)/(ABS(Tidstabel[[#This Row],[LCA-Difference]])+ABS(O36)))),"-"))</f>
        <v>-</v>
      </c>
      <c r="S35" s="174" t="str">
        <f>IF(Tidstabel[[#This Row],[År]]&gt;Input_Tidshorisont,BlankTegn,
IF(Tidstabel[[#This Row],[LCA-Skæring]]=1,SUM(Tidstabel[[#This Row],[År]]*(1-ABS(Tidstabel[[#This Row],[LCA-Difference]])/(ABS(Tidstabel[[#This Row],[LCA-Difference]])+ABS(O36))),A36*(1-ABS(O36)/(ABS(Tidstabel[[#This Row],[LCA-Difference]])+ABS(O36)))),"-"))</f>
        <v>-</v>
      </c>
      <c r="T35" s="264" t="str">
        <f>IF(Tidstabel[[#This Row],[År]]&gt;Input_Tidshorisont,BlankTegn,
IF(Tidstabel[[#This Row],[LCA-Skæring]]=1,SUM(Tidstabel[[#This Row],[Emission_Netto]]*(1-ABS(Tidstabel[[#This Row],[LCA-Difference]])/(ABS(Tidstabel[[#This Row],[LCA-Difference]])+ABS(O36))),N36*(1-ABS(O36)/(ABS(Tidstabel[[#This Row],[LCA-Difference]])+ABS(O36)))),"-"))</f>
        <v>-</v>
      </c>
      <c r="U35" s="142" t="str">
        <f ca="1">IFERROR(IF(Tidstabel[[#This Row],[År]]&gt;Input_Tidshorisont,BlankTegn,
Tidstabel[[#This Row],[NPV_Klimafacade]]-Tidstabel[[#This Row],[NPV_Eksisterende]]),BlankTegn)</f>
        <v>.</v>
      </c>
      <c r="V35" s="271" t="str">
        <f ca="1">IFERROR(IF(Tidstabel[[#This Row],[År]]&gt;Input_Tidshorisont,BlankTegn,
IF(AND(Tidstabel[[#This Row],[NPV_Klimafacade]]-Tidstabel[[#This Row],[NPV_Eksisterende]]&gt;0,AB36-AA36&lt;0),1,IF(AND(Tidstabel[[#This Row],[NPV_Klimafacade]]-Tidstabel[[#This Row],[NPV_Eksisterende]]&lt;0,AB36-AA36&gt;0),-1,0))),BlankTegn)</f>
        <v>.</v>
      </c>
      <c r="W35" s="174" t="str">
        <f ca="1">IF(Tidstabel[[#This Row],[År]]&gt;Input_Tidshorisont,BlankTegn,
IF(Tidstabel[[#This Row],[LCC-Skæring]]=-1,SUM(Tidstabel[[#This Row],[År]]*(1-ABS(Tidstabel[[#This Row],[LCC-Difference]])/(ABS(Tidstabel[[#This Row],[LCC-Difference]])+ABS(U36))),A36*(1-ABS(U36)/(ABS(Tidstabel[[#This Row],[LCC-Difference]])+ABS(U36)))),"-"))</f>
        <v>-</v>
      </c>
      <c r="X35" s="174" t="str">
        <f ca="1">IF(Tidstabel[[#This Row],[År]]&gt;Input_Tidshorisont,BlankTegn,
IF(Tidstabel[[#This Row],[LCC-Skæring]]=-1,SUM(Tidstabel[[#This Row],[NPV_Klimafacade]]*(1-ABS(Tidstabel[[#This Row],[LCC-Difference]])/(ABS(Tidstabel[[#This Row],[LCC-Difference]])+ABS(U36))),AB36*(1-ABS(U36)/(ABS(Tidstabel[[#This Row],[LCC-Difference]])+ABS(U36)))),"-"))</f>
        <v>-</v>
      </c>
      <c r="Y35" s="174" t="str">
        <f ca="1">IF(Tidstabel[[#This Row],[År]]&gt;Input_Tidshorisont,BlankTegn,
IF(Tidstabel[[#This Row],[LCC-Skæring]]=1,SUM(Tidstabel[[#This Row],[År]]*(1-ABS(Tidstabel[[#This Row],[LCC-Difference]])/(ABS(Tidstabel[[#This Row],[LCC-Difference]])+ABS(U36))),A36*(1-ABS(U36)/(ABS(Tidstabel[[#This Row],[LCC-Difference]])+ABS(U36)))),"-"))</f>
        <v>-</v>
      </c>
      <c r="Z35" s="264" t="str">
        <f ca="1">IF(Tidstabel[[#This Row],[År]]&gt;Input_Tidshorisont,BlankTegn,
IF(Tidstabel[[#This Row],[LCC-Skæring]]=1,SUM(Tidstabel[[#This Row],[NPV_Klimafacade]]*(1-ABS(Tidstabel[[#This Row],[LCC-Difference]])/(ABS(Tidstabel[[#This Row],[LCC-Difference]])+ABS(U36))),AB36*(1-ABS(U36)/(ABS(Tidstabel[[#This Row],[LCC-Difference]])+ABS(U36)))),"-"))</f>
        <v>-</v>
      </c>
      <c r="AA35" s="142">
        <f ca="1">IF(Tidstabel[[#This Row],[År]]&gt;Input_Tidshorisont,BlankTegn,
Tidstabel[[#This Row],[EF_Vedligehold_Aggregeret]])</f>
        <v>-198.77170852152162</v>
      </c>
      <c r="AB35"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35" s="142" t="str">
        <f>IFERROR(IF(Tidstabel[[#This Row],[År]]&gt;Input_Tidshorisont,BlankTegn,
Tidstabel[[#This Row],[KF_Anskaffelse_Aggregeret]]+Tidstabel[[#This Row],[KF_Engangsudgifter_Aggregeret]]),BlankTegn)</f>
        <v>.</v>
      </c>
      <c r="AD35" s="174">
        <f ca="1">IFERROR(IF(Tidstabel[[#This Row],[År]]&gt;Input_Tidshorisont,BlankTegn,
IF(Tidstabel[[#This Row],[År]]=0,0,Tidstabel[[#This Row],[NPV_Eksisterende]]*(Tidstabel[[#This Row],[Kalkulationsrente]]/(1-(1+Tidstabel[[#This Row],[Kalkulationsrente]])^-Tidstabel[[#This Row],[År]])))),BlankTegn)</f>
        <v>-11.251004499206775</v>
      </c>
      <c r="AE35" s="264" t="str">
        <f ca="1">IFERROR(IF(Tidstabel[[#This Row],[År]]&gt;Input_Tidshorisont,BlankTegn,
IF(Tidstabel[[#This Row],[År]]=0,0,Tidstabel[[#This Row],[NPV_Klimafacade]]*(Tidstabel[[#This Row],[Kalkulationsrente]]/(1-(1+Tidstabel[[#This Row],[Kalkulationsrente]])^-Tidstabel[[#This Row],[År]])))),BlankTegn)</f>
        <v>.</v>
      </c>
      <c r="AF35" s="270">
        <f ca="1">IF(Tidstabel[[#This Row],[År]]&gt;Input_Tidshorisont,BlankTegn,
IF(EF_Vedligehold_i=1,IF(Tidstabel[[#This Row],[EF_Uds?]]=0,1,0),IF(MAX(AF34:OFFSET(AG34,2-EF_Vedligehold_i,0),Tidstabel[[#This Row],[EF_Uds?]])=0,1,0)))</f>
        <v>1</v>
      </c>
      <c r="AG35" s="181">
        <f>IF(Tidstabel[[#This Row],[År]]&gt;Input_Tidshorisont,BlankTegn,0)</f>
        <v>0</v>
      </c>
      <c r="AH35" s="263">
        <f ca="1">IF(Tidstabel[[#This Row],[År]]&gt;Input_Tidshorisont,BlankTegn,
Tidstabel[[#This Row],[EF_Ved?]]*EF_Vedligehold_p*-EF_Enhedspris*((1+Tidstabel[[#This Row],[Kalkulationsrente]])^-Tidstabel[[#This Row],[År]])*((1+PrisudviklingGenerelt)^Tidstabel[[#This Row],[År]]))</f>
        <v>-4.0639636104817383</v>
      </c>
      <c r="AI35" s="262">
        <f ca="1">IF(Tidstabel[[#This Row],[År]]&gt;Input_Tidshorisont,BlankTegn,
IF(Tidstabel[[#This Row],[År]]=0,Tidstabel[[#This Row],[EF_Vedligehold]],AI34+Tidstabel[[#This Row],[EF_Vedligehold]]))</f>
        <v>-198.77170852152162</v>
      </c>
      <c r="AJ35" s="245">
        <f>IFERROR(IF(Tidstabel[[#This Row],[År]]&gt;Input_Tidshorisont,BlankTegn,
Tidstabel[[#This Row],[FB_Anskaffelse]]+Tidstabel[[#This Row],[VS_Anskaffelse]]+Tidstabel[[#This Row],[EI_Anskaffelse]]+Tidstabel[[#This Row],[AP_Anskaffelse]]+Tidstabel[[#This Row],[SK_Anskaffelse]]),BlankTegn)</f>
        <v>0</v>
      </c>
      <c r="AK35" s="245" t="str">
        <f>IFERROR(IF(Tidstabel[[#This Row],[År]]&gt;Input_Tidshorisont,BlankTegn,
IF(Tidstabel[[#This Row],[År]]=0,Tidstabel[[#This Row],[KF_Anskaffelse]],AK34+Tidstabel[[#This Row],[KF_Anskaffelse]])),BlankTegn)</f>
        <v>.</v>
      </c>
      <c r="AL35" s="246" t="str">
        <f ca="1">IFERROR(IF(Tidstabel[[#This Row],[År]]&gt;Input_Tidshorisont,BlankTegn,
Tidstabel[[#This Row],[FB_Vedligehold]]+Tidstabel[[#This Row],[VS_Vedligehold]]+Tidstabel[[#This Row],[EI_Vedligehold]]+Tidstabel[[#This Row],[AP_Vedligehold]]+Tidstabel[[#This Row],[SK_Vedligehold]]),BlankTegn)</f>
        <v>.</v>
      </c>
      <c r="AM35" s="245" t="str">
        <f ca="1">IFERROR(IF(Tidstabel[[#This Row],[År]]&gt;Input_Tidshorisont,BlankTegn,
IF(Tidstabel[[#This Row],[År]]=0,Tidstabel[[#This Row],[KF_Vedligehold]],AM34+Tidstabel[[#This Row],[KF_Vedligehold]])),BlankTegn)</f>
        <v>.</v>
      </c>
      <c r="AN35"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35"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35" s="245" t="str">
        <f>IFERROR(IF(Tidstabel[[#This Row],[År]]&gt;Input_Tidshorisont,BlankTegn,
IF(Tidstabel[[#This Row],[År]]=0,Tidstabel[[#This Row],[KF_Udskiftning_Komponent]],AP34+Tidstabel[[#This Row],[KF_Udskiftning_Komponent]])),BlankTegn)</f>
        <v>.</v>
      </c>
      <c r="AQ35" s="245">
        <f>IF(Tidstabel[[#This Row],[År]]&gt;Input_Tidshorisont,BlankTegn,
IF(Tidstabel[[#This Row],[År]]=0,-SUM(Engangsudgifter[Udgift]),0))</f>
        <v>0</v>
      </c>
      <c r="AR35" s="245">
        <f>IFERROR(IF(Tidstabel[[#This Row],[År]]&gt;Input_Tidshorisont,BlankTegn,
IF(Tidstabel[[#This Row],[År]]=0,Tidstabel[[#This Row],[KF_Engangsudgifter]],AR34+Tidstabel[[#This Row],[KF_Engangsudgifter]])),BlankTegn)</f>
        <v>0</v>
      </c>
      <c r="AS35" s="315" t="str">
        <f>IFERROR(IF(Tidstabel[[#This Row],[År]]&gt;Input_Tidshorisont,BlankTegn,
-Energibesparelse_Årlig),BlankTegn)</f>
        <v>.</v>
      </c>
      <c r="AT35" s="245" t="str">
        <f>IFERROR(IF(Tidstabel[[#This Row],[År]]&gt;Input_Tidshorisont,BlankTegn,
IF(Tidstabel[[#This Row],[År]]=0,0,-Tidstabel[[#This Row],[KF_Energiforbrug]]*Input_Fjernvarmepris*((1+Tidstabel[[#This Row],[Kalkulationsrente]])^-Tidstabel[[#This Row],[År]])*((1+PrisudviklingFjernvarme)^Tidstabel[[#This Row],[År]]))),BlankTegn)</f>
        <v>.</v>
      </c>
      <c r="AU35" s="262" t="str">
        <f>IFERROR(IF(Tidstabel[[#This Row],[År]]&gt;Input_Tidshorisont,BlankTegn,
IF(Tidstabel[[#This Row],[År]]=0,Tidstabel[[#This Row],[KF_Forsyning]],AU34+Tidstabel[[#This Row],[KF_Forsyning]])),BlankTegn)</f>
        <v>.</v>
      </c>
      <c r="AV35" s="245">
        <f>IFERROR(IF(Tidstabel[[#This Row],[År]]&gt;Input_Tidshorisont,BlankTegn,
IF(Tidstabel[[#This Row],[År]]=0,-FB_Enhedspris,0)),BlankTegn)</f>
        <v>0</v>
      </c>
      <c r="AW35" s="245" t="str">
        <f>IFERROR(IF(Tidstabel[[#This Row],[År]]&gt;Input_Tidshorisont,BlankTegn,
IF(Tidstabel[[#This Row],[År]]=0,FB_Enhedspris/FB_Levetid,AW34*((1+Tidstabel[[#This Row],[Kalkulationsrente]])^-1)*((1+PrisudviklingGenerelt)^1))),BlankTegn)</f>
        <v>.</v>
      </c>
      <c r="AX35" s="178" t="str">
        <f ca="1">IFERROR(IF(Tidstabel[[#This Row],[År]]&gt;Input_Tidshorisont,BlankTegn,
IF(FB_Vedligehold_i=1,IF(Tidstabel[[#This Row],[FB_Uds?]]=0,1,0),IF(MAX(AX34:OFFSET(AY34,2-FB_Vedligehold_i,0),Tidstabel[[#This Row],[FB_Uds?]])=0,1,0))),BlankTegn)</f>
        <v>.</v>
      </c>
      <c r="AY35" s="178" t="str">
        <f>IFERROR(IF(Tidstabel[[#This Row],[År]]&gt;Input_Tidshorisont,BlankTegn,
IF(Tidstabel[[#This Row],[År]]=0,1,IF(MOD(Tidstabel[[#This Row],[År]],FB_Levetid)=0,1,IF(Tidstabel[[#This Row],[År]]=Input_Tidshorisont,0,0)))),BlankTegn)</f>
        <v>.</v>
      </c>
      <c r="AZ35" s="245" t="str">
        <f ca="1">IFERROR(IF(Tidstabel[[#This Row],[År]]&gt;Input_Tidshorisont,BlankTegn,
FB_Vedligehold_p*-FB_Enhedspris*Tidstabel[[#This Row],[FB_Ved?]]*((1+Tidstabel[[#This Row],[Kalkulationsrente]])^-Tidstabel[[#This Row],[År]])*((1+PrisudviklingGenerelt)^Tidstabel[[#This Row],[År]])),BlankTegn)</f>
        <v>.</v>
      </c>
      <c r="BA35" s="245" t="str">
        <f>IFERROR(IF(Tidstabel[[#This Row],[År]]&gt;Input_Tidshorisont,BlankTegn,
IF(Tidstabel[[#This Row],[År]]=0,FB_Enhedspris,SUM(BA34:BB34)*((1+Tidstabel[[#This Row],[Kalkulationsrente]])^-1)*((1+PrisudviklingGenerelt)^1)-Tidstabel[[#This Row],[FB_Afskrivning]])),BlankTegn)</f>
        <v>.</v>
      </c>
      <c r="BB35" s="245" t="str">
        <f>IFERROR(IF(Tidstabel[[#This Row],[År]]&gt;Input_Tidshorisont,BlankTegn,
IF(Tidstabel[[#This Row],[År]]=0,0,Tidstabel[[#This Row],[FB_Uds?]]*FB_Enhedspris*((1+Tidstabel[[#This Row],[Kalkulationsrente]])^-Tidstabel[[#This Row],[År]])*((1+PrisudviklingGenerelt)^Tidstabel[[#This Row],[År]]))),BlankTegn)</f>
        <v>.</v>
      </c>
      <c r="BC35" s="262" t="str">
        <f>IFERROR(IF(Tidstabel[[#This Row],[År]]&gt;Input_Tidshorisont,BlankTegn,
IF(Tidstabel[[#This Row],[År]]=0,0,Tidstabel[[#This Row],[FB_Uds?]]*-FB_Enhedspris*FB_Genoprettelse*((1+Tidstabel[[#This Row],[Kalkulationsrente]])^-Tidstabel[[#This Row],[År]])*((1+PrisudviklingGenerelt)^Tidstabel[[#This Row],[År]]))),BlankTegn)</f>
        <v>.</v>
      </c>
      <c r="BD35" s="245">
        <f>IFERROR(IF(Tidstabel[[#This Row],[År]]&gt;Input_Tidshorisont,BlankTegn,
IF(Tidstabel[[#This Row],[År]]=0,-VS_Enhedspris,0)),BlankTegn)</f>
        <v>0</v>
      </c>
      <c r="BE35" s="245" t="str">
        <f>IFERROR(IF(Tidstabel[[#This Row],[År]]&gt;Input_Tidshorisont,BlankTegn,
IF(Tidstabel[[#This Row],[År]]=0,VS_Enhedspris/VS_Levetid,BE34*((1+Tidstabel[[#This Row],[Kalkulationsrente]])^-1)*((1+PrisudviklingGenerelt)^1))),BlankTegn)</f>
        <v>.</v>
      </c>
      <c r="BF35" s="178" t="str">
        <f ca="1">IFERROR(IF(Tidstabel[[#This Row],[År]]&gt;Input_Tidshorisont,BlankTegn,
IF(VS_Vedligehold_i=1,IF(Tidstabel[[#This Row],[VS_Uds?]]=0,1,0),IF(MAX(BF34:OFFSET(BG34,2-VS_Vedligehold_i,0),Tidstabel[[#This Row],[VS_Uds?]])=0,1,0))),BlankTegn)</f>
        <v>.</v>
      </c>
      <c r="BG35" s="178" t="str">
        <f>IFERROR(IF(Tidstabel[[#This Row],[År]]&gt;Input_Tidshorisont,BlankTegn,
IF(Tidstabel[[#This Row],[År]]=0,1,IF(MOD(Tidstabel[[#This Row],[År]],VS_Levetid)=0,1,IF(Tidstabel[[#This Row],[År]]=Input_Tidshorisont,0,0)))),BlankTegn)</f>
        <v>.</v>
      </c>
      <c r="BH35" s="245" t="str">
        <f ca="1">IFERROR(IF(Tidstabel[[#This Row],[År]]&gt;Input_Tidshorisont,BlankTegn,
VS_Vedligehold_p*-VS_Enhedspris*Tidstabel[[#This Row],[VS_Ved?]]*((1+Tidstabel[[#This Row],[Kalkulationsrente]])^-Tidstabel[[#This Row],[År]])*((1+PrisudviklingGenerelt)^Tidstabel[[#This Row],[År]])),BlankTegn)</f>
        <v>.</v>
      </c>
      <c r="BI35" s="245" t="str">
        <f>IFERROR(IF(Tidstabel[[#This Row],[År]]&gt;Input_Tidshorisont,BlankTegn,
IF(Tidstabel[[#This Row],[År]]=0,VS_Enhedspris,SUM(BI34:BJ34)*((1+Tidstabel[[#This Row],[Kalkulationsrente]])^-1)*((1+PrisudviklingGenerelt)^1)-Tidstabel[[#This Row],[VS_Afskrivning]])),BlankTegn)</f>
        <v>.</v>
      </c>
      <c r="BJ35" s="245" t="str">
        <f>IFERROR(IF(Tidstabel[[#This Row],[År]]&gt;Input_Tidshorisont,BlankTegn,
IF(Tidstabel[[#This Row],[År]]=0,0,Tidstabel[[#This Row],[VS_Uds?]]*VS_Enhedspris*((1+Tidstabel[[#This Row],[Kalkulationsrente]])^-Tidstabel[[#This Row],[År]])*((1+PrisudviklingGenerelt)^Tidstabel[[#This Row],[År]]))),BlankTegn)</f>
        <v>.</v>
      </c>
      <c r="BK35" s="262" t="str">
        <f>IFERROR(IF(Tidstabel[[#This Row],[År]]&gt;Input_Tidshorisont,BlankTegn,
IF(Tidstabel[[#This Row],[År]]=0,0,Tidstabel[[#This Row],[VS_Uds?]]*-VS_Enhedspris*VS_Genoprettelse*((1+Tidstabel[[#This Row],[Kalkulationsrente]])^-Tidstabel[[#This Row],[År]])*((1+PrisudviklingGenerelt)^Tidstabel[[#This Row],[År]]))),BlankTegn)</f>
        <v>.</v>
      </c>
      <c r="BL35" s="245">
        <f>IFERROR(IF(Tidstabel[[#This Row],[År]]&gt;Input_Tidshorisont,BlankTegn,
IF(Tidstabel[[#This Row],[År]]=0,-EI_Enhedspris,0)),BlankTegn)</f>
        <v>0</v>
      </c>
      <c r="BM35" s="245" t="str">
        <f>IFERROR(IF(Tidstabel[[#This Row],[År]]&gt;Input_Tidshorisont,BlankTegn,
IF(Tidstabel[[#This Row],[År]]=0,EI_Enhedspris/EI_Levetid,BM34*((1+Tidstabel[[#This Row],[Kalkulationsrente]])^-1)*((1+PrisudviklingGenerelt)^1))),BlankTegn)</f>
        <v>.</v>
      </c>
      <c r="BN35" s="178" t="str">
        <f ca="1">IFERROR(IF(Tidstabel[[#This Row],[År]]&gt;Input_Tidshorisont,BlankTegn,
IF(EI_Vedligehold_i=1,IF(Tidstabel[[#This Row],[EI_Uds?]]=0,1,0),IF(MAX(BN34:OFFSET(BO34,2-EI_Vedligehold_i,0),Tidstabel[[#This Row],[EI_Uds?]])=0,1,0))),BlankTegn)</f>
        <v>.</v>
      </c>
      <c r="BO35" s="178" t="str">
        <f>IFERROR(IF(Tidstabel[[#This Row],[År]]&gt;Input_Tidshorisont,BlankTegn,
IF(Tidstabel[[#This Row],[År]]=0,1,IF(MOD(Tidstabel[[#This Row],[År]],EI_Levetid)=0,1,IF(Tidstabel[[#This Row],[År]]=Input_Tidshorisont,0,0)))),BlankTegn)</f>
        <v>.</v>
      </c>
      <c r="BP35" s="245" t="str">
        <f ca="1">IFERROR(IF(Tidstabel[[#This Row],[År]]&gt;Input_Tidshorisont,BlankTegn,
EI_Vedligehold_p*-EI_Enhedspris*Tidstabel[[#This Row],[EI_Ved?]]*((1+Tidstabel[[#This Row],[Kalkulationsrente]])^-Tidstabel[[#This Row],[År]])*((1+PrisudviklingGenerelt)^Tidstabel[[#This Row],[År]])),BlankTegn)</f>
        <v>.</v>
      </c>
      <c r="BQ35" s="245" t="str">
        <f>IFERROR(IF(Tidstabel[[#This Row],[År]]&gt;Input_Tidshorisont,BlankTegn,
IF(Tidstabel[[#This Row],[År]]=0,EI_Enhedspris,SUM(BQ34:BR34)*((1+Tidstabel[[#This Row],[Kalkulationsrente]])^-1)*((1+PrisudviklingGenerelt)^1)-Tidstabel[[#This Row],[EI_Afskrivning]])),BlankTegn)</f>
        <v>.</v>
      </c>
      <c r="BR35" s="245" t="str">
        <f>IFERROR(IF(Tidstabel[[#This Row],[År]]&gt;Input_Tidshorisont,BlankTegn,
IF(Tidstabel[[#This Row],[År]]=0,0,Tidstabel[[#This Row],[EI_Uds?]]*EI_Enhedspris*((1+Tidstabel[[#This Row],[Kalkulationsrente]])^-Tidstabel[[#This Row],[År]])*((1+PrisudviklingGenerelt)^Tidstabel[[#This Row],[År]]))),BlankTegn)</f>
        <v>.</v>
      </c>
      <c r="BS35" s="262" t="str">
        <f>IFERROR(IF(Tidstabel[[#This Row],[År]]&gt;Input_Tidshorisont,BlankTegn,
IF(Tidstabel[[#This Row],[År]]=0,0,Tidstabel[[#This Row],[EI_Uds?]]*-EI_Enhedspris*EI_Genoprettelse*((1+Tidstabel[[#This Row],[Kalkulationsrente]])^-Tidstabel[[#This Row],[År]])*((1+PrisudviklingGenerelt)^Tidstabel[[#This Row],[År]]))),BlankTegn)</f>
        <v>.</v>
      </c>
      <c r="BT35" s="245">
        <f>IFERROR(IF(Tidstabel[[#This Row],[År]]&gt;Input_Tidshorisont,BlankTegn,
IF(Tidstabel[[#This Row],[År]]=0,-AP_Enhedspris,0)),BlankTegn)</f>
        <v>0</v>
      </c>
      <c r="BU35" s="245" t="str">
        <f>IFERROR(IF(Tidstabel[[#This Row],[År]]&gt;Input_Tidshorisont,BlankTegn,
IF(Tidstabel[[#This Row],[År]]=0,AP_Enhedspris/AP_Levetid,BU34*((1+Tidstabel[[#This Row],[Kalkulationsrente]])^-1)*((1+PrisudviklingGenerelt)^1))),BlankTegn)</f>
        <v>.</v>
      </c>
      <c r="BV35" s="178" t="str">
        <f ca="1">IFERROR(IF(Tidstabel[[#This Row],[År]]&gt;Input_Tidshorisont,BlankTegn,
IF(AP_Vedligehold_i=1,IF(Tidstabel[[#This Row],[AP_Uds?]]=0,1,0),IF(MAX(BV34:OFFSET(BW34,2-AP_Vedligehold_i,0),Tidstabel[[#This Row],[AP_Uds?]])=0,1,0))),BlankTegn)</f>
        <v>.</v>
      </c>
      <c r="BW35" s="178" t="str">
        <f>IFERROR(IF(Tidstabel[[#This Row],[År]]&gt;Input_Tidshorisont,BlankTegn,
IF(Tidstabel[[#This Row],[År]]=0,1,IF(MOD(Tidstabel[[#This Row],[År]],AP_Levetid)=0,1,IF(Tidstabel[[#This Row],[År]]=Input_Tidshorisont,0,0)))),BlankTegn)</f>
        <v>.</v>
      </c>
      <c r="BX35" s="245" t="str">
        <f ca="1">IFERROR(IF(Tidstabel[[#This Row],[År]]&gt;Input_Tidshorisont,BlankTegn,
AP_Vedligehold_p*-AP_Enhedspris*Tidstabel[[#This Row],[AP_Ved?]]*((1+Tidstabel[[#This Row],[Kalkulationsrente]])^-Tidstabel[[#This Row],[År]])*((1+PrisudviklingGenerelt)^Tidstabel[[#This Row],[År]])),BlankTegn)</f>
        <v>.</v>
      </c>
      <c r="BY35" s="245" t="str">
        <f>IFERROR(IF(Tidstabel[[#This Row],[År]]&gt;Input_Tidshorisont,BlankTegn,
IF(Tidstabel[[#This Row],[År]]=0,AP_Enhedspris,SUM(BY34:BZ34)*((1+Tidstabel[[#This Row],[Kalkulationsrente]])^-1)*((1+PrisudviklingGenerelt)^1)-Tidstabel[[#This Row],[AP_Afskrivning]])),BlankTegn)</f>
        <v>.</v>
      </c>
      <c r="BZ35" s="245" t="str">
        <f>IFERROR(IF(Tidstabel[[#This Row],[År]]&gt;Input_Tidshorisont,BlankTegn,
IF(Tidstabel[[#This Row],[År]]=0,0,Tidstabel[[#This Row],[AP_Uds?]]*AP_Enhedspris*((1+Tidstabel[[#This Row],[Kalkulationsrente]])^-Tidstabel[[#This Row],[År]])*((1+PrisudviklingGenerelt)^Tidstabel[[#This Row],[År]]))),BlankTegn)</f>
        <v>.</v>
      </c>
      <c r="CA35" s="262" t="str">
        <f>IFERROR(IF(Tidstabel[[#This Row],[År]]&gt;Input_Tidshorisont,BlankTegn,
IF(Tidstabel[[#This Row],[År]]=0,0,Tidstabel[[#This Row],[AP_Uds?]]*-AP_Enhedspris*AP_Genoprettelse*((1+Tidstabel[[#This Row],[Kalkulationsrente]])^-Tidstabel[[#This Row],[År]])*((1+PrisudviklingGenerelt)^Tidstabel[[#This Row],[År]]))),BlankTegn)</f>
        <v>.</v>
      </c>
      <c r="CB35" s="245">
        <f>IFERROR(IF(Tidstabel[[#This Row],[År]]&gt;Input_Tidshorisont,BlankTegn,
IF(Tidstabel[[#This Row],[År]]=0,-SK_Enhedspris,0)),BlankTegn)</f>
        <v>0</v>
      </c>
      <c r="CC35" s="245" t="str">
        <f>IFERROR(IF(Tidstabel[[#This Row],[År]]&gt;Input_Tidshorisont,BlankTegn,
IF(Tidstabel[[#This Row],[År]]=0,SK_Enhedspris/SK_Levetid,CC34*((1+Tidstabel[[#This Row],[Kalkulationsrente]])^-1)*((1+PrisudviklingGenerelt)^1))),BlankTegn)</f>
        <v>.</v>
      </c>
      <c r="CD35" s="178" t="str">
        <f ca="1">IFERROR(IF(Tidstabel[[#This Row],[År]]&gt;Input_Tidshorisont,BlankTegn,
IF(SK_Vedligehold_i=1,IF(Tidstabel[[#This Row],[SK_Uds?]]=0,1,0),IF(MAX(CD34:OFFSET(CE34,2-SK_Vedligehold_i,0),Tidstabel[[#This Row],[SK_Uds?]])=0,1,0))),BlankTegn)</f>
        <v>.</v>
      </c>
      <c r="CE35" s="178" t="str">
        <f>IFERROR(IF(Tidstabel[[#This Row],[År]]&gt;Input_Tidshorisont,BlankTegn,
IF(Tidstabel[[#This Row],[År]]=0,1,IF(MOD(Tidstabel[[#This Row],[År]],SK_Levetid)=0,1,IF(Tidstabel[[#This Row],[År]]=Input_Tidshorisont,0,0)))),BlankTegn)</f>
        <v>.</v>
      </c>
      <c r="CF35" s="245" t="str">
        <f ca="1">IFERROR(IF(Tidstabel[[#This Row],[År]]&gt;Input_Tidshorisont,BlankTegn,
SK_Vedligehold_p*-SK_Enhedspris*Tidstabel[[#This Row],[SK_Ved?]]*((1+Tidstabel[[#This Row],[Kalkulationsrente]])^-Tidstabel[[#This Row],[År]])*((1+PrisudviklingGenerelt)^Tidstabel[[#This Row],[År]])),BlankTegn)</f>
        <v>.</v>
      </c>
      <c r="CG35" s="245" t="str">
        <f>IFERROR(IF(Tidstabel[[#This Row],[År]]&gt;Input_Tidshorisont,BlankTegn,
IF(Tidstabel[[#This Row],[År]]=0,SK_Enhedspris,SUM(CG34:CH34)*((1+Tidstabel[[#This Row],[Kalkulationsrente]])^-1)*((1+PrisudviklingGenerelt)^1)-Tidstabel[[#This Row],[SK_Afskrivning]])),BlankTegn)</f>
        <v>.</v>
      </c>
      <c r="CH35" s="245" t="str">
        <f>IFERROR(IF(Tidstabel[[#This Row],[År]]&gt;Input_Tidshorisont,BlankTegn,
IF(Tidstabel[[#This Row],[År]]=0,0,Tidstabel[[#This Row],[SK_Uds?]]*SK_Enhedspris*((1+Tidstabel[[#This Row],[Kalkulationsrente]])^-Tidstabel[[#This Row],[År]])*((1+PrisudviklingGenerelt)^Tidstabel[[#This Row],[År]]))),BlankTegn)</f>
        <v>.</v>
      </c>
      <c r="CI35" s="262" t="str">
        <f>IFERROR(IF(Tidstabel[[#This Row],[År]]&gt;Input_Tidshorisont,BlankTegn,
IF(Tidstabel[[#This Row],[År]]=0,0,Tidstabel[[#This Row],[SK_Uds?]]*-SK_Enhedspris*SK_Genoprettelse*((1+Tidstabel[[#This Row],[Kalkulationsrente]])^-Tidstabel[[#This Row],[År]])*((1+PrisudviklingGenerelt)^Tidstabel[[#This Row],[År]]))),BlankTegn)</f>
        <v>.</v>
      </c>
      <c r="CJ35" s="19"/>
    </row>
    <row r="36" spans="1:88">
      <c r="A36" s="250">
        <v>29</v>
      </c>
      <c r="B36" s="250">
        <f>Input_Etableringsår+Tidstabel[[#This Row],[År]]</f>
        <v>2053</v>
      </c>
      <c r="C36" s="274" cm="1">
        <f t="array" ref="C36">_xlfn.IFS(Tidstabel[[#This Row],[År]]&gt;KR_Trin3_Tærskel,KR_Trin3_Rente,Tidstabel[[#This Row],[År]]&gt;KR_Trin2_Tærskel,KR_Trin2_Rente,Tidstabel[[#This Row],[År]]&gt;KR_Trin1_Tærskel,KR_Trin1_Rente,Tidstabel[[#This Row],[År]]&gt;KR_Trin0_Tærskel,KR_Trin0_Rente)</f>
        <v>3.5000000000000003E-2</v>
      </c>
      <c r="D36" s="142" t="str" cm="1">
        <f t="array" ref="D36">IFERROR(
INDEX(Range_Materiale_ÅrligeEmissioner,MATCH(1,(Materialedata[Komponent]=FB_Titel)*(Materialedata[Materiale]=FB_Materiale),0),MATCH(Tidstabel[[#This Row],[År]],Range_Materiale_År,0)),BlankTegn)</f>
        <v>.</v>
      </c>
      <c r="E36" s="142" t="str" cm="1">
        <f t="array" ref="E36">IFERROR(
INDEX(Range_Materiale_ÅrligeEmissioner,MATCH(1,(Materialedata[Komponent]=SK_Titel)*(Materialedata[Materiale]=SK_Materiale),0),MATCH(Tidstabel[[#This Row],[År]],Range_Materiale_År,0)),BlankTegn)</f>
        <v>.</v>
      </c>
      <c r="F36" s="142" t="str" cm="1">
        <f t="array" ref="F36">IFERROR(
INDEX(Range_Materiale_ÅrligeEmissioner,MATCH(1,(Materialedata[Komponent]=EI_Titel)*(Materialedata[Materiale]=EI_Materiale),0),MATCH(Tidstabel[[#This Row],[År]],Range_Materiale_År,0)),BlankTegn)</f>
        <v>.</v>
      </c>
      <c r="G36" s="142" t="str" cm="1">
        <f t="array" ref="G36">IFERROR(
INDEX(Range_Materiale_ÅrligeEmissioner,MATCH(1,(Materialedata[Komponent]=AP_Titel)*(Materialedata[Materiale]=AP_Materiale),0),MATCH(Tidstabel[[#This Row],[År]],Range_Materiale_År,0)),BlankTegn)</f>
        <v>.</v>
      </c>
      <c r="H36" s="142" t="str" cm="1">
        <f t="array" ref="H36">IFERROR(
INDEX(Range_Materiale_ÅrligeEmissioner,MATCH(1,(Materialedata[Komponent]=VS_Titel)*(Materialedata[Materiale]=VS_Materiale),0),MATCH(Tidstabel[[#This Row],[År]],Range_Materiale_År,0)),BlankTegn)</f>
        <v>.</v>
      </c>
      <c r="I36" s="142" t="str">
        <f>IFERROR(
IF(SUM(Tidstabel[[#This Row],[Facadebeklædning]:[Vindspærre]])=0,BlankTegn,
SUM(Tidstabel[[#This Row],[Facadebeklædning]:[Vindspærre]])),BlankTegn)</f>
        <v>.</v>
      </c>
      <c r="J36" s="139">
        <f>IF(Tidstabel[[#This Row],[År]]&gt;Input_Tidshorisont,BlankTegn,
A5_ElVarmeBrændstofByggeplads)</f>
        <v>0.25</v>
      </c>
      <c r="K36" s="142" t="str">
        <f>IFERROR(IF(Tidstabel[[#This Row],[År]]&gt;Input_Tidshorisont,BlankTegn,
-1*INDEX(Range_Energi_ÅrligBesparelse,MATCH(Input_EksisterendeFacade,Energiberegning[Ydervæg],0),MATCH(Tidstabel[[#This Row],[Årstal]],Range_Energi_Årstal,0))),BlankTegn)</f>
        <v>.</v>
      </c>
      <c r="L36" s="142">
        <f>IF(Tidstabel[[#This Row],[År]]&gt;Input_Tidshorisont,BlankTegn,
(Tidstabel[[#This Row],[År]]+1)*(SUM(Vedligeholdelsesmaterialer[Facadefarve],Vedligeholdelsesmaterialer[Grunder og mellemmaling])/12+SUM(Vedligeholdelsesmaterialer[Puds])/30))</f>
        <v>9.7456285749999996</v>
      </c>
      <c r="M36" s="142" t="str">
        <f>IFERROR(IF(Tidstabel[[#This Row],[År]]&gt;Input_Tidshorisont,BlankTegn,
Tidstabel[[#This Row],[Materialer_Total]]+Tidstabel[[#This Row],[Byggeprocess]]),BlankTegn)</f>
        <v>.</v>
      </c>
      <c r="N36" s="142" t="str">
        <f>IFERROR(IF(Tidstabel[[#This Row],[År]]&gt;Input_Tidshorisont,BlankTegn,
Tidstabel[[#This Row],[Energibesparelse]]+Tidstabel[[#This Row],[Emission_Brutto]]),BlankTegn)</f>
        <v>.</v>
      </c>
      <c r="O36" s="142" t="str">
        <f>IFERROR(IF(Tidstabel[[#This Row],[År]]&gt;Input_Tidshorisont,BlankTegn,
Tidstabel[[#This Row],[Emission_Netto]]-Tidstabel[[#This Row],[Vedligehold_EksisterendeFacade]]),BlankTegn)</f>
        <v>.</v>
      </c>
      <c r="P36" s="271" t="str">
        <f>IFERROR(IF(Tidstabel[[#This Row],[År]]&gt;Input_Tidshorisont,BlankTegn,
IF(AND(Tidstabel[[#This Row],[Emission_Netto]]-Tidstabel[[#This Row],[Vedligehold_EksisterendeFacade]]&gt;0,N37-L37&lt;0),-1,IF(AND(Tidstabel[[#This Row],[Emission_Netto]]-Tidstabel[[#This Row],[Vedligehold_EksisterendeFacade]]&lt;0,N37-L37&gt;0),1,0))),BlankTegn)</f>
        <v>.</v>
      </c>
      <c r="Q36" s="174" t="str">
        <f>IF(Tidstabel[[#This Row],[År]]&gt;Input_Tidshorisont,BlankTegn,
IF(Tidstabel[[#This Row],[LCA-Skæring]]=-1,SUM(Tidstabel[[#This Row],[År]]*(1-ABS(Tidstabel[[#This Row],[LCA-Difference]])/(ABS(Tidstabel[[#This Row],[LCA-Difference]])+ABS(O37))),A37*(1-ABS(O37)/(ABS(Tidstabel[[#This Row],[LCA-Difference]])+ABS(O37)))),"-"))</f>
        <v>-</v>
      </c>
      <c r="R36" s="174" t="str">
        <f>IF(Tidstabel[[#This Row],[År]]&gt;Input_Tidshorisont,BlankTegn,
IF(Tidstabel[[#This Row],[LCA-Skæring]]=-1,SUM(Tidstabel[[#This Row],[Emission_Netto]]*(1-ABS(Tidstabel[[#This Row],[LCA-Difference]])/(ABS(Tidstabel[[#This Row],[LCA-Difference]])+ABS(O37))),N37*(1-ABS(O37)/(ABS(Tidstabel[[#This Row],[LCA-Difference]])+ABS(O37)))),"-"))</f>
        <v>-</v>
      </c>
      <c r="S36" s="174" t="str">
        <f>IF(Tidstabel[[#This Row],[År]]&gt;Input_Tidshorisont,BlankTegn,
IF(Tidstabel[[#This Row],[LCA-Skæring]]=1,SUM(Tidstabel[[#This Row],[År]]*(1-ABS(Tidstabel[[#This Row],[LCA-Difference]])/(ABS(Tidstabel[[#This Row],[LCA-Difference]])+ABS(O37))),A37*(1-ABS(O37)/(ABS(Tidstabel[[#This Row],[LCA-Difference]])+ABS(O37)))),"-"))</f>
        <v>-</v>
      </c>
      <c r="T36" s="264" t="str">
        <f>IF(Tidstabel[[#This Row],[År]]&gt;Input_Tidshorisont,BlankTegn,
IF(Tidstabel[[#This Row],[LCA-Skæring]]=1,SUM(Tidstabel[[#This Row],[Emission_Netto]]*(1-ABS(Tidstabel[[#This Row],[LCA-Difference]])/(ABS(Tidstabel[[#This Row],[LCA-Difference]])+ABS(O37))),N37*(1-ABS(O37)/(ABS(Tidstabel[[#This Row],[LCA-Difference]])+ABS(O37)))),"-"))</f>
        <v>-</v>
      </c>
      <c r="U36" s="142" t="str">
        <f ca="1">IFERROR(IF(Tidstabel[[#This Row],[År]]&gt;Input_Tidshorisont,BlankTegn,
Tidstabel[[#This Row],[NPV_Klimafacade]]-Tidstabel[[#This Row],[NPV_Eksisterende]]),BlankTegn)</f>
        <v>.</v>
      </c>
      <c r="V36" s="271" t="str">
        <f ca="1">IFERROR(IF(Tidstabel[[#This Row],[År]]&gt;Input_Tidshorisont,BlankTegn,
IF(AND(Tidstabel[[#This Row],[NPV_Klimafacade]]-Tidstabel[[#This Row],[NPV_Eksisterende]]&gt;0,AB37-AA37&lt;0),1,IF(AND(Tidstabel[[#This Row],[NPV_Klimafacade]]-Tidstabel[[#This Row],[NPV_Eksisterende]]&lt;0,AB37-AA37&gt;0),-1,0))),BlankTegn)</f>
        <v>.</v>
      </c>
      <c r="W36" s="174" t="str">
        <f ca="1">IF(Tidstabel[[#This Row],[År]]&gt;Input_Tidshorisont,BlankTegn,
IF(Tidstabel[[#This Row],[LCC-Skæring]]=-1,SUM(Tidstabel[[#This Row],[År]]*(1-ABS(Tidstabel[[#This Row],[LCC-Difference]])/(ABS(Tidstabel[[#This Row],[LCC-Difference]])+ABS(U37))),A37*(1-ABS(U37)/(ABS(Tidstabel[[#This Row],[LCC-Difference]])+ABS(U37)))),"-"))</f>
        <v>-</v>
      </c>
      <c r="X36" s="174" t="str">
        <f ca="1">IF(Tidstabel[[#This Row],[År]]&gt;Input_Tidshorisont,BlankTegn,
IF(Tidstabel[[#This Row],[LCC-Skæring]]=-1,SUM(Tidstabel[[#This Row],[NPV_Klimafacade]]*(1-ABS(Tidstabel[[#This Row],[LCC-Difference]])/(ABS(Tidstabel[[#This Row],[LCC-Difference]])+ABS(U37))),AB37*(1-ABS(U37)/(ABS(Tidstabel[[#This Row],[LCC-Difference]])+ABS(U37)))),"-"))</f>
        <v>-</v>
      </c>
      <c r="Y36" s="174" t="str">
        <f ca="1">IF(Tidstabel[[#This Row],[År]]&gt;Input_Tidshorisont,BlankTegn,
IF(Tidstabel[[#This Row],[LCC-Skæring]]=1,SUM(Tidstabel[[#This Row],[År]]*(1-ABS(Tidstabel[[#This Row],[LCC-Difference]])/(ABS(Tidstabel[[#This Row],[LCC-Difference]])+ABS(U37))),A37*(1-ABS(U37)/(ABS(Tidstabel[[#This Row],[LCC-Difference]])+ABS(U37)))),"-"))</f>
        <v>-</v>
      </c>
      <c r="Z36" s="264" t="str">
        <f ca="1">IF(Tidstabel[[#This Row],[År]]&gt;Input_Tidshorisont,BlankTegn,
IF(Tidstabel[[#This Row],[LCC-Skæring]]=1,SUM(Tidstabel[[#This Row],[NPV_Klimafacade]]*(1-ABS(Tidstabel[[#This Row],[LCC-Difference]])/(ABS(Tidstabel[[#This Row],[LCC-Difference]])+ABS(U37))),AB37*(1-ABS(U37)/(ABS(Tidstabel[[#This Row],[LCC-Difference]])+ABS(U37)))),"-"))</f>
        <v>-</v>
      </c>
      <c r="AA36" s="142">
        <f ca="1">IF(Tidstabel[[#This Row],[År]]&gt;Input_Tidshorisont,BlankTegn,
Tidstabel[[#This Row],[EF_Vedligehold_Aggregeret]])</f>
        <v>-202.69824341087596</v>
      </c>
      <c r="AB36"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36" s="142" t="str">
        <f>IFERROR(IF(Tidstabel[[#This Row],[År]]&gt;Input_Tidshorisont,BlankTegn,
Tidstabel[[#This Row],[KF_Anskaffelse_Aggregeret]]+Tidstabel[[#This Row],[KF_Engangsudgifter_Aggregeret]]),BlankTegn)</f>
        <v>.</v>
      </c>
      <c r="AD36" s="174">
        <f ca="1">IFERROR(IF(Tidstabel[[#This Row],[År]]&gt;Input_Tidshorisont,BlankTegn,
IF(Tidstabel[[#This Row],[År]]=0,0,Tidstabel[[#This Row],[NPV_Eksisterende]]*(Tidstabel[[#This Row],[Kalkulationsrente]]/(1-(1+Tidstabel[[#This Row],[Kalkulationsrente]])^-Tidstabel[[#This Row],[År]])))),BlankTegn)</f>
        <v>-11.238681637566572</v>
      </c>
      <c r="AE36" s="264" t="str">
        <f ca="1">IFERROR(IF(Tidstabel[[#This Row],[År]]&gt;Input_Tidshorisont,BlankTegn,
IF(Tidstabel[[#This Row],[År]]=0,0,Tidstabel[[#This Row],[NPV_Klimafacade]]*(Tidstabel[[#This Row],[Kalkulationsrente]]/(1-(1+Tidstabel[[#This Row],[Kalkulationsrente]])^-Tidstabel[[#This Row],[År]])))),BlankTegn)</f>
        <v>.</v>
      </c>
      <c r="AF36" s="270">
        <f ca="1">IF(Tidstabel[[#This Row],[År]]&gt;Input_Tidshorisont,BlankTegn,
IF(EF_Vedligehold_i=1,IF(Tidstabel[[#This Row],[EF_Uds?]]=0,1,0),IF(MAX(AF35:OFFSET(AG35,2-EF_Vedligehold_i,0),Tidstabel[[#This Row],[EF_Uds?]])=0,1,0)))</f>
        <v>1</v>
      </c>
      <c r="AG36" s="181">
        <f>IF(Tidstabel[[#This Row],[År]]&gt;Input_Tidshorisont,BlankTegn,0)</f>
        <v>0</v>
      </c>
      <c r="AH36" s="263">
        <f ca="1">IF(Tidstabel[[#This Row],[År]]&gt;Input_Tidshorisont,BlankTegn,
Tidstabel[[#This Row],[EF_Ved?]]*EF_Vedligehold_p*-EF_Enhedspris*((1+Tidstabel[[#This Row],[Kalkulationsrente]])^-Tidstabel[[#This Row],[År]])*((1+PrisudviklingGenerelt)^Tidstabel[[#This Row],[År]]))</f>
        <v>-3.9265348893543375</v>
      </c>
      <c r="AI36" s="262">
        <f ca="1">IF(Tidstabel[[#This Row],[År]]&gt;Input_Tidshorisont,BlankTegn,
IF(Tidstabel[[#This Row],[År]]=0,Tidstabel[[#This Row],[EF_Vedligehold]],AI35+Tidstabel[[#This Row],[EF_Vedligehold]]))</f>
        <v>-202.69824341087596</v>
      </c>
      <c r="AJ36" s="245">
        <f>IFERROR(IF(Tidstabel[[#This Row],[År]]&gt;Input_Tidshorisont,BlankTegn,
Tidstabel[[#This Row],[FB_Anskaffelse]]+Tidstabel[[#This Row],[VS_Anskaffelse]]+Tidstabel[[#This Row],[EI_Anskaffelse]]+Tidstabel[[#This Row],[AP_Anskaffelse]]+Tidstabel[[#This Row],[SK_Anskaffelse]]),BlankTegn)</f>
        <v>0</v>
      </c>
      <c r="AK36" s="245" t="str">
        <f>IFERROR(IF(Tidstabel[[#This Row],[År]]&gt;Input_Tidshorisont,BlankTegn,
IF(Tidstabel[[#This Row],[År]]=0,Tidstabel[[#This Row],[KF_Anskaffelse]],AK35+Tidstabel[[#This Row],[KF_Anskaffelse]])),BlankTegn)</f>
        <v>.</v>
      </c>
      <c r="AL36" s="246" t="str">
        <f ca="1">IFERROR(IF(Tidstabel[[#This Row],[År]]&gt;Input_Tidshorisont,BlankTegn,
Tidstabel[[#This Row],[FB_Vedligehold]]+Tidstabel[[#This Row],[VS_Vedligehold]]+Tidstabel[[#This Row],[EI_Vedligehold]]+Tidstabel[[#This Row],[AP_Vedligehold]]+Tidstabel[[#This Row],[SK_Vedligehold]]),BlankTegn)</f>
        <v>.</v>
      </c>
      <c r="AM36" s="245" t="str">
        <f ca="1">IFERROR(IF(Tidstabel[[#This Row],[År]]&gt;Input_Tidshorisont,BlankTegn,
IF(Tidstabel[[#This Row],[År]]=0,Tidstabel[[#This Row],[KF_Vedligehold]],AM35+Tidstabel[[#This Row],[KF_Vedligehold]])),BlankTegn)</f>
        <v>.</v>
      </c>
      <c r="AN36"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36"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36" s="245" t="str">
        <f>IFERROR(IF(Tidstabel[[#This Row],[År]]&gt;Input_Tidshorisont,BlankTegn,
IF(Tidstabel[[#This Row],[År]]=0,Tidstabel[[#This Row],[KF_Udskiftning_Komponent]],AP35+Tidstabel[[#This Row],[KF_Udskiftning_Komponent]])),BlankTegn)</f>
        <v>.</v>
      </c>
      <c r="AQ36" s="245">
        <f>IF(Tidstabel[[#This Row],[År]]&gt;Input_Tidshorisont,BlankTegn,
IF(Tidstabel[[#This Row],[År]]=0,-SUM(Engangsudgifter[Udgift]),0))</f>
        <v>0</v>
      </c>
      <c r="AR36" s="245">
        <f>IFERROR(IF(Tidstabel[[#This Row],[År]]&gt;Input_Tidshorisont,BlankTegn,
IF(Tidstabel[[#This Row],[År]]=0,Tidstabel[[#This Row],[KF_Engangsudgifter]],AR35+Tidstabel[[#This Row],[KF_Engangsudgifter]])),BlankTegn)</f>
        <v>0</v>
      </c>
      <c r="AS36" s="315" t="str">
        <f>IFERROR(IF(Tidstabel[[#This Row],[År]]&gt;Input_Tidshorisont,BlankTegn,
-Energibesparelse_Årlig),BlankTegn)</f>
        <v>.</v>
      </c>
      <c r="AT36" s="245" t="str">
        <f>IFERROR(IF(Tidstabel[[#This Row],[År]]&gt;Input_Tidshorisont,BlankTegn,
IF(Tidstabel[[#This Row],[År]]=0,0,-Tidstabel[[#This Row],[KF_Energiforbrug]]*Input_Fjernvarmepris*((1+Tidstabel[[#This Row],[Kalkulationsrente]])^-Tidstabel[[#This Row],[År]])*((1+PrisudviklingFjernvarme)^Tidstabel[[#This Row],[År]]))),BlankTegn)</f>
        <v>.</v>
      </c>
      <c r="AU36" s="262" t="str">
        <f>IFERROR(IF(Tidstabel[[#This Row],[År]]&gt;Input_Tidshorisont,BlankTegn,
IF(Tidstabel[[#This Row],[År]]=0,Tidstabel[[#This Row],[KF_Forsyning]],AU35+Tidstabel[[#This Row],[KF_Forsyning]])),BlankTegn)</f>
        <v>.</v>
      </c>
      <c r="AV36" s="245">
        <f>IFERROR(IF(Tidstabel[[#This Row],[År]]&gt;Input_Tidshorisont,BlankTegn,
IF(Tidstabel[[#This Row],[År]]=0,-FB_Enhedspris,0)),BlankTegn)</f>
        <v>0</v>
      </c>
      <c r="AW36" s="245" t="str">
        <f>IFERROR(IF(Tidstabel[[#This Row],[År]]&gt;Input_Tidshorisont,BlankTegn,
IF(Tidstabel[[#This Row],[År]]=0,FB_Enhedspris/FB_Levetid,AW35*((1+Tidstabel[[#This Row],[Kalkulationsrente]])^-1)*((1+PrisudviklingGenerelt)^1))),BlankTegn)</f>
        <v>.</v>
      </c>
      <c r="AX36" s="178" t="str">
        <f ca="1">IFERROR(IF(Tidstabel[[#This Row],[År]]&gt;Input_Tidshorisont,BlankTegn,
IF(FB_Vedligehold_i=1,IF(Tidstabel[[#This Row],[FB_Uds?]]=0,1,0),IF(MAX(AX35:OFFSET(AY35,2-FB_Vedligehold_i,0),Tidstabel[[#This Row],[FB_Uds?]])=0,1,0))),BlankTegn)</f>
        <v>.</v>
      </c>
      <c r="AY36" s="178" t="str">
        <f>IFERROR(IF(Tidstabel[[#This Row],[År]]&gt;Input_Tidshorisont,BlankTegn,
IF(Tidstabel[[#This Row],[År]]=0,1,IF(MOD(Tidstabel[[#This Row],[År]],FB_Levetid)=0,1,IF(Tidstabel[[#This Row],[År]]=Input_Tidshorisont,0,0)))),BlankTegn)</f>
        <v>.</v>
      </c>
      <c r="AZ36" s="245" t="str">
        <f ca="1">IFERROR(IF(Tidstabel[[#This Row],[År]]&gt;Input_Tidshorisont,BlankTegn,
FB_Vedligehold_p*-FB_Enhedspris*Tidstabel[[#This Row],[FB_Ved?]]*((1+Tidstabel[[#This Row],[Kalkulationsrente]])^-Tidstabel[[#This Row],[År]])*((1+PrisudviklingGenerelt)^Tidstabel[[#This Row],[År]])),BlankTegn)</f>
        <v>.</v>
      </c>
      <c r="BA36" s="245" t="str">
        <f>IFERROR(IF(Tidstabel[[#This Row],[År]]&gt;Input_Tidshorisont,BlankTegn,
IF(Tidstabel[[#This Row],[År]]=0,FB_Enhedspris,SUM(BA35:BB35)*((1+Tidstabel[[#This Row],[Kalkulationsrente]])^-1)*((1+PrisudviklingGenerelt)^1)-Tidstabel[[#This Row],[FB_Afskrivning]])),BlankTegn)</f>
        <v>.</v>
      </c>
      <c r="BB36" s="245" t="str">
        <f>IFERROR(IF(Tidstabel[[#This Row],[År]]&gt;Input_Tidshorisont,BlankTegn,
IF(Tidstabel[[#This Row],[År]]=0,0,Tidstabel[[#This Row],[FB_Uds?]]*FB_Enhedspris*((1+Tidstabel[[#This Row],[Kalkulationsrente]])^-Tidstabel[[#This Row],[År]])*((1+PrisudviklingGenerelt)^Tidstabel[[#This Row],[År]]))),BlankTegn)</f>
        <v>.</v>
      </c>
      <c r="BC36" s="262" t="str">
        <f>IFERROR(IF(Tidstabel[[#This Row],[År]]&gt;Input_Tidshorisont,BlankTegn,
IF(Tidstabel[[#This Row],[År]]=0,0,Tidstabel[[#This Row],[FB_Uds?]]*-FB_Enhedspris*FB_Genoprettelse*((1+Tidstabel[[#This Row],[Kalkulationsrente]])^-Tidstabel[[#This Row],[År]])*((1+PrisudviklingGenerelt)^Tidstabel[[#This Row],[År]]))),BlankTegn)</f>
        <v>.</v>
      </c>
      <c r="BD36" s="245">
        <f>IFERROR(IF(Tidstabel[[#This Row],[År]]&gt;Input_Tidshorisont,BlankTegn,
IF(Tidstabel[[#This Row],[År]]=0,-VS_Enhedspris,0)),BlankTegn)</f>
        <v>0</v>
      </c>
      <c r="BE36" s="245" t="str">
        <f>IFERROR(IF(Tidstabel[[#This Row],[År]]&gt;Input_Tidshorisont,BlankTegn,
IF(Tidstabel[[#This Row],[År]]=0,VS_Enhedspris/VS_Levetid,BE35*((1+Tidstabel[[#This Row],[Kalkulationsrente]])^-1)*((1+PrisudviklingGenerelt)^1))),BlankTegn)</f>
        <v>.</v>
      </c>
      <c r="BF36" s="178" t="str">
        <f ca="1">IFERROR(IF(Tidstabel[[#This Row],[År]]&gt;Input_Tidshorisont,BlankTegn,
IF(VS_Vedligehold_i=1,IF(Tidstabel[[#This Row],[VS_Uds?]]=0,1,0),IF(MAX(BF35:OFFSET(BG35,2-VS_Vedligehold_i,0),Tidstabel[[#This Row],[VS_Uds?]])=0,1,0))),BlankTegn)</f>
        <v>.</v>
      </c>
      <c r="BG36" s="178" t="str">
        <f>IFERROR(IF(Tidstabel[[#This Row],[År]]&gt;Input_Tidshorisont,BlankTegn,
IF(Tidstabel[[#This Row],[År]]=0,1,IF(MOD(Tidstabel[[#This Row],[År]],VS_Levetid)=0,1,IF(Tidstabel[[#This Row],[År]]=Input_Tidshorisont,0,0)))),BlankTegn)</f>
        <v>.</v>
      </c>
      <c r="BH36" s="245" t="str">
        <f ca="1">IFERROR(IF(Tidstabel[[#This Row],[År]]&gt;Input_Tidshorisont,BlankTegn,
VS_Vedligehold_p*-VS_Enhedspris*Tidstabel[[#This Row],[VS_Ved?]]*((1+Tidstabel[[#This Row],[Kalkulationsrente]])^-Tidstabel[[#This Row],[År]])*((1+PrisudviklingGenerelt)^Tidstabel[[#This Row],[År]])),BlankTegn)</f>
        <v>.</v>
      </c>
      <c r="BI36" s="245" t="str">
        <f>IFERROR(IF(Tidstabel[[#This Row],[År]]&gt;Input_Tidshorisont,BlankTegn,
IF(Tidstabel[[#This Row],[År]]=0,VS_Enhedspris,SUM(BI35:BJ35)*((1+Tidstabel[[#This Row],[Kalkulationsrente]])^-1)*((1+PrisudviklingGenerelt)^1)-Tidstabel[[#This Row],[VS_Afskrivning]])),BlankTegn)</f>
        <v>.</v>
      </c>
      <c r="BJ36" s="245" t="str">
        <f>IFERROR(IF(Tidstabel[[#This Row],[År]]&gt;Input_Tidshorisont,BlankTegn,
IF(Tidstabel[[#This Row],[År]]=0,0,Tidstabel[[#This Row],[VS_Uds?]]*VS_Enhedspris*((1+Tidstabel[[#This Row],[Kalkulationsrente]])^-Tidstabel[[#This Row],[År]])*((1+PrisudviklingGenerelt)^Tidstabel[[#This Row],[År]]))),BlankTegn)</f>
        <v>.</v>
      </c>
      <c r="BK36" s="262" t="str">
        <f>IFERROR(IF(Tidstabel[[#This Row],[År]]&gt;Input_Tidshorisont,BlankTegn,
IF(Tidstabel[[#This Row],[År]]=0,0,Tidstabel[[#This Row],[VS_Uds?]]*-VS_Enhedspris*VS_Genoprettelse*((1+Tidstabel[[#This Row],[Kalkulationsrente]])^-Tidstabel[[#This Row],[År]])*((1+PrisudviklingGenerelt)^Tidstabel[[#This Row],[År]]))),BlankTegn)</f>
        <v>.</v>
      </c>
      <c r="BL36" s="245">
        <f>IFERROR(IF(Tidstabel[[#This Row],[År]]&gt;Input_Tidshorisont,BlankTegn,
IF(Tidstabel[[#This Row],[År]]=0,-EI_Enhedspris,0)),BlankTegn)</f>
        <v>0</v>
      </c>
      <c r="BM36" s="245" t="str">
        <f>IFERROR(IF(Tidstabel[[#This Row],[År]]&gt;Input_Tidshorisont,BlankTegn,
IF(Tidstabel[[#This Row],[År]]=0,EI_Enhedspris/EI_Levetid,BM35*((1+Tidstabel[[#This Row],[Kalkulationsrente]])^-1)*((1+PrisudviklingGenerelt)^1))),BlankTegn)</f>
        <v>.</v>
      </c>
      <c r="BN36" s="178" t="str">
        <f ca="1">IFERROR(IF(Tidstabel[[#This Row],[År]]&gt;Input_Tidshorisont,BlankTegn,
IF(EI_Vedligehold_i=1,IF(Tidstabel[[#This Row],[EI_Uds?]]=0,1,0),IF(MAX(BN35:OFFSET(BO35,2-EI_Vedligehold_i,0),Tidstabel[[#This Row],[EI_Uds?]])=0,1,0))),BlankTegn)</f>
        <v>.</v>
      </c>
      <c r="BO36" s="178" t="str">
        <f>IFERROR(IF(Tidstabel[[#This Row],[År]]&gt;Input_Tidshorisont,BlankTegn,
IF(Tidstabel[[#This Row],[År]]=0,1,IF(MOD(Tidstabel[[#This Row],[År]],EI_Levetid)=0,1,IF(Tidstabel[[#This Row],[År]]=Input_Tidshorisont,0,0)))),BlankTegn)</f>
        <v>.</v>
      </c>
      <c r="BP36" s="245" t="str">
        <f ca="1">IFERROR(IF(Tidstabel[[#This Row],[År]]&gt;Input_Tidshorisont,BlankTegn,
EI_Vedligehold_p*-EI_Enhedspris*Tidstabel[[#This Row],[EI_Ved?]]*((1+Tidstabel[[#This Row],[Kalkulationsrente]])^-Tidstabel[[#This Row],[År]])*((1+PrisudviklingGenerelt)^Tidstabel[[#This Row],[År]])),BlankTegn)</f>
        <v>.</v>
      </c>
      <c r="BQ36" s="245" t="str">
        <f>IFERROR(IF(Tidstabel[[#This Row],[År]]&gt;Input_Tidshorisont,BlankTegn,
IF(Tidstabel[[#This Row],[År]]=0,EI_Enhedspris,SUM(BQ35:BR35)*((1+Tidstabel[[#This Row],[Kalkulationsrente]])^-1)*((1+PrisudviklingGenerelt)^1)-Tidstabel[[#This Row],[EI_Afskrivning]])),BlankTegn)</f>
        <v>.</v>
      </c>
      <c r="BR36" s="245" t="str">
        <f>IFERROR(IF(Tidstabel[[#This Row],[År]]&gt;Input_Tidshorisont,BlankTegn,
IF(Tidstabel[[#This Row],[År]]=0,0,Tidstabel[[#This Row],[EI_Uds?]]*EI_Enhedspris*((1+Tidstabel[[#This Row],[Kalkulationsrente]])^-Tidstabel[[#This Row],[År]])*((1+PrisudviklingGenerelt)^Tidstabel[[#This Row],[År]]))),BlankTegn)</f>
        <v>.</v>
      </c>
      <c r="BS36" s="262" t="str">
        <f>IFERROR(IF(Tidstabel[[#This Row],[År]]&gt;Input_Tidshorisont,BlankTegn,
IF(Tidstabel[[#This Row],[År]]=0,0,Tidstabel[[#This Row],[EI_Uds?]]*-EI_Enhedspris*EI_Genoprettelse*((1+Tidstabel[[#This Row],[Kalkulationsrente]])^-Tidstabel[[#This Row],[År]])*((1+PrisudviklingGenerelt)^Tidstabel[[#This Row],[År]]))),BlankTegn)</f>
        <v>.</v>
      </c>
      <c r="BT36" s="245">
        <f>IFERROR(IF(Tidstabel[[#This Row],[År]]&gt;Input_Tidshorisont,BlankTegn,
IF(Tidstabel[[#This Row],[År]]=0,-AP_Enhedspris,0)),BlankTegn)</f>
        <v>0</v>
      </c>
      <c r="BU36" s="245" t="str">
        <f>IFERROR(IF(Tidstabel[[#This Row],[År]]&gt;Input_Tidshorisont,BlankTegn,
IF(Tidstabel[[#This Row],[År]]=0,AP_Enhedspris/AP_Levetid,BU35*((1+Tidstabel[[#This Row],[Kalkulationsrente]])^-1)*((1+PrisudviklingGenerelt)^1))),BlankTegn)</f>
        <v>.</v>
      </c>
      <c r="BV36" s="178" t="str">
        <f ca="1">IFERROR(IF(Tidstabel[[#This Row],[År]]&gt;Input_Tidshorisont,BlankTegn,
IF(AP_Vedligehold_i=1,IF(Tidstabel[[#This Row],[AP_Uds?]]=0,1,0),IF(MAX(BV35:OFFSET(BW35,2-AP_Vedligehold_i,0),Tidstabel[[#This Row],[AP_Uds?]])=0,1,0))),BlankTegn)</f>
        <v>.</v>
      </c>
      <c r="BW36" s="178" t="str">
        <f>IFERROR(IF(Tidstabel[[#This Row],[År]]&gt;Input_Tidshorisont,BlankTegn,
IF(Tidstabel[[#This Row],[År]]=0,1,IF(MOD(Tidstabel[[#This Row],[År]],AP_Levetid)=0,1,IF(Tidstabel[[#This Row],[År]]=Input_Tidshorisont,0,0)))),BlankTegn)</f>
        <v>.</v>
      </c>
      <c r="BX36" s="245" t="str">
        <f ca="1">IFERROR(IF(Tidstabel[[#This Row],[År]]&gt;Input_Tidshorisont,BlankTegn,
AP_Vedligehold_p*-AP_Enhedspris*Tidstabel[[#This Row],[AP_Ved?]]*((1+Tidstabel[[#This Row],[Kalkulationsrente]])^-Tidstabel[[#This Row],[År]])*((1+PrisudviklingGenerelt)^Tidstabel[[#This Row],[År]])),BlankTegn)</f>
        <v>.</v>
      </c>
      <c r="BY36" s="245" t="str">
        <f>IFERROR(IF(Tidstabel[[#This Row],[År]]&gt;Input_Tidshorisont,BlankTegn,
IF(Tidstabel[[#This Row],[År]]=0,AP_Enhedspris,SUM(BY35:BZ35)*((1+Tidstabel[[#This Row],[Kalkulationsrente]])^-1)*((1+PrisudviklingGenerelt)^1)-Tidstabel[[#This Row],[AP_Afskrivning]])),BlankTegn)</f>
        <v>.</v>
      </c>
      <c r="BZ36" s="245" t="str">
        <f>IFERROR(IF(Tidstabel[[#This Row],[År]]&gt;Input_Tidshorisont,BlankTegn,
IF(Tidstabel[[#This Row],[År]]=0,0,Tidstabel[[#This Row],[AP_Uds?]]*AP_Enhedspris*((1+Tidstabel[[#This Row],[Kalkulationsrente]])^-Tidstabel[[#This Row],[År]])*((1+PrisudviklingGenerelt)^Tidstabel[[#This Row],[År]]))),BlankTegn)</f>
        <v>.</v>
      </c>
      <c r="CA36" s="262" t="str">
        <f>IFERROR(IF(Tidstabel[[#This Row],[År]]&gt;Input_Tidshorisont,BlankTegn,
IF(Tidstabel[[#This Row],[År]]=0,0,Tidstabel[[#This Row],[AP_Uds?]]*-AP_Enhedspris*AP_Genoprettelse*((1+Tidstabel[[#This Row],[Kalkulationsrente]])^-Tidstabel[[#This Row],[År]])*((1+PrisudviklingGenerelt)^Tidstabel[[#This Row],[År]]))),BlankTegn)</f>
        <v>.</v>
      </c>
      <c r="CB36" s="245">
        <f>IFERROR(IF(Tidstabel[[#This Row],[År]]&gt;Input_Tidshorisont,BlankTegn,
IF(Tidstabel[[#This Row],[År]]=0,-SK_Enhedspris,0)),BlankTegn)</f>
        <v>0</v>
      </c>
      <c r="CC36" s="245" t="str">
        <f>IFERROR(IF(Tidstabel[[#This Row],[År]]&gt;Input_Tidshorisont,BlankTegn,
IF(Tidstabel[[#This Row],[År]]=0,SK_Enhedspris/SK_Levetid,CC35*((1+Tidstabel[[#This Row],[Kalkulationsrente]])^-1)*((1+PrisudviklingGenerelt)^1))),BlankTegn)</f>
        <v>.</v>
      </c>
      <c r="CD36" s="178" t="str">
        <f ca="1">IFERROR(IF(Tidstabel[[#This Row],[År]]&gt;Input_Tidshorisont,BlankTegn,
IF(SK_Vedligehold_i=1,IF(Tidstabel[[#This Row],[SK_Uds?]]=0,1,0),IF(MAX(CD35:OFFSET(CE35,2-SK_Vedligehold_i,0),Tidstabel[[#This Row],[SK_Uds?]])=0,1,0))),BlankTegn)</f>
        <v>.</v>
      </c>
      <c r="CE36" s="178" t="str">
        <f>IFERROR(IF(Tidstabel[[#This Row],[År]]&gt;Input_Tidshorisont,BlankTegn,
IF(Tidstabel[[#This Row],[År]]=0,1,IF(MOD(Tidstabel[[#This Row],[År]],SK_Levetid)=0,1,IF(Tidstabel[[#This Row],[År]]=Input_Tidshorisont,0,0)))),BlankTegn)</f>
        <v>.</v>
      </c>
      <c r="CF36" s="245" t="str">
        <f ca="1">IFERROR(IF(Tidstabel[[#This Row],[År]]&gt;Input_Tidshorisont,BlankTegn,
SK_Vedligehold_p*-SK_Enhedspris*Tidstabel[[#This Row],[SK_Ved?]]*((1+Tidstabel[[#This Row],[Kalkulationsrente]])^-Tidstabel[[#This Row],[År]])*((1+PrisudviklingGenerelt)^Tidstabel[[#This Row],[År]])),BlankTegn)</f>
        <v>.</v>
      </c>
      <c r="CG36" s="245" t="str">
        <f>IFERROR(IF(Tidstabel[[#This Row],[År]]&gt;Input_Tidshorisont,BlankTegn,
IF(Tidstabel[[#This Row],[År]]=0,SK_Enhedspris,SUM(CG35:CH35)*((1+Tidstabel[[#This Row],[Kalkulationsrente]])^-1)*((1+PrisudviklingGenerelt)^1)-Tidstabel[[#This Row],[SK_Afskrivning]])),BlankTegn)</f>
        <v>.</v>
      </c>
      <c r="CH36" s="245" t="str">
        <f>IFERROR(IF(Tidstabel[[#This Row],[År]]&gt;Input_Tidshorisont,BlankTegn,
IF(Tidstabel[[#This Row],[År]]=0,0,Tidstabel[[#This Row],[SK_Uds?]]*SK_Enhedspris*((1+Tidstabel[[#This Row],[Kalkulationsrente]])^-Tidstabel[[#This Row],[År]])*((1+PrisudviklingGenerelt)^Tidstabel[[#This Row],[År]]))),BlankTegn)</f>
        <v>.</v>
      </c>
      <c r="CI36" s="262" t="str">
        <f>IFERROR(IF(Tidstabel[[#This Row],[År]]&gt;Input_Tidshorisont,BlankTegn,
IF(Tidstabel[[#This Row],[År]]=0,0,Tidstabel[[#This Row],[SK_Uds?]]*-SK_Enhedspris*SK_Genoprettelse*((1+Tidstabel[[#This Row],[Kalkulationsrente]])^-Tidstabel[[#This Row],[År]])*((1+PrisudviklingGenerelt)^Tidstabel[[#This Row],[År]]))),BlankTegn)</f>
        <v>.</v>
      </c>
      <c r="CJ36" s="19"/>
    </row>
    <row r="37" spans="1:88">
      <c r="A37" s="250">
        <v>30</v>
      </c>
      <c r="B37" s="250">
        <f>Input_Etableringsår+Tidstabel[[#This Row],[År]]</f>
        <v>2054</v>
      </c>
      <c r="C37" s="274" cm="1">
        <f t="array" ref="C37">_xlfn.IFS(Tidstabel[[#This Row],[År]]&gt;KR_Trin3_Tærskel,KR_Trin3_Rente,Tidstabel[[#This Row],[År]]&gt;KR_Trin2_Tærskel,KR_Trin2_Rente,Tidstabel[[#This Row],[År]]&gt;KR_Trin1_Tærskel,KR_Trin1_Rente,Tidstabel[[#This Row],[År]]&gt;KR_Trin0_Tærskel,KR_Trin0_Rente)</f>
        <v>3.5000000000000003E-2</v>
      </c>
      <c r="D37" s="142" t="str" cm="1">
        <f t="array" ref="D37">IFERROR(
INDEX(Range_Materiale_ÅrligeEmissioner,MATCH(1,(Materialedata[Komponent]=FB_Titel)*(Materialedata[Materiale]=FB_Materiale),0),MATCH(Tidstabel[[#This Row],[År]],Range_Materiale_År,0)),BlankTegn)</f>
        <v>.</v>
      </c>
      <c r="E37" s="142" t="str" cm="1">
        <f t="array" ref="E37">IFERROR(
INDEX(Range_Materiale_ÅrligeEmissioner,MATCH(1,(Materialedata[Komponent]=SK_Titel)*(Materialedata[Materiale]=SK_Materiale),0),MATCH(Tidstabel[[#This Row],[År]],Range_Materiale_År,0)),BlankTegn)</f>
        <v>.</v>
      </c>
      <c r="F37" s="142" t="str" cm="1">
        <f t="array" ref="F37">IFERROR(
INDEX(Range_Materiale_ÅrligeEmissioner,MATCH(1,(Materialedata[Komponent]=EI_Titel)*(Materialedata[Materiale]=EI_Materiale),0),MATCH(Tidstabel[[#This Row],[År]],Range_Materiale_År,0)),BlankTegn)</f>
        <v>.</v>
      </c>
      <c r="G37" s="142" t="str" cm="1">
        <f t="array" ref="G37">IFERROR(
INDEX(Range_Materiale_ÅrligeEmissioner,MATCH(1,(Materialedata[Komponent]=AP_Titel)*(Materialedata[Materiale]=AP_Materiale),0),MATCH(Tidstabel[[#This Row],[År]],Range_Materiale_År,0)),BlankTegn)</f>
        <v>.</v>
      </c>
      <c r="H37" s="142" t="str" cm="1">
        <f t="array" ref="H37">IFERROR(
INDEX(Range_Materiale_ÅrligeEmissioner,MATCH(1,(Materialedata[Komponent]=VS_Titel)*(Materialedata[Materiale]=VS_Materiale),0),MATCH(Tidstabel[[#This Row],[År]],Range_Materiale_År,0)),BlankTegn)</f>
        <v>.</v>
      </c>
      <c r="I37" s="142" t="str">
        <f>IFERROR(
IF(SUM(Tidstabel[[#This Row],[Facadebeklædning]:[Vindspærre]])=0,BlankTegn,
SUM(Tidstabel[[#This Row],[Facadebeklædning]:[Vindspærre]])),BlankTegn)</f>
        <v>.</v>
      </c>
      <c r="J37" s="139">
        <f>IF(Tidstabel[[#This Row],[År]]&gt;Input_Tidshorisont,BlankTegn,
A5_ElVarmeBrændstofByggeplads)</f>
        <v>0.25</v>
      </c>
      <c r="K37" s="142" t="str">
        <f>IFERROR(IF(Tidstabel[[#This Row],[År]]&gt;Input_Tidshorisont,BlankTegn,
-1*INDEX(Range_Energi_ÅrligBesparelse,MATCH(Input_EksisterendeFacade,Energiberegning[Ydervæg],0),MATCH(Tidstabel[[#This Row],[Årstal]],Range_Energi_Årstal,0))),BlankTegn)</f>
        <v>.</v>
      </c>
      <c r="L37" s="142">
        <f>IF(Tidstabel[[#This Row],[År]]&gt;Input_Tidshorisont,BlankTegn,
(Tidstabel[[#This Row],[År]]+1)*(SUM(Vedligeholdelsesmaterialer[Facadefarve],Vedligeholdelsesmaterialer[Grunder og mellemmaling])/12+SUM(Vedligeholdelsesmaterialer[Puds])/30))</f>
        <v>10.070482860833332</v>
      </c>
      <c r="M37" s="142" t="str">
        <f>IFERROR(IF(Tidstabel[[#This Row],[År]]&gt;Input_Tidshorisont,BlankTegn,
Tidstabel[[#This Row],[Materialer_Total]]+Tidstabel[[#This Row],[Byggeprocess]]),BlankTegn)</f>
        <v>.</v>
      </c>
      <c r="N37" s="142" t="str">
        <f>IFERROR(IF(Tidstabel[[#This Row],[År]]&gt;Input_Tidshorisont,BlankTegn,
Tidstabel[[#This Row],[Energibesparelse]]+Tidstabel[[#This Row],[Emission_Brutto]]),BlankTegn)</f>
        <v>.</v>
      </c>
      <c r="O37" s="142" t="str">
        <f>IFERROR(IF(Tidstabel[[#This Row],[År]]&gt;Input_Tidshorisont,BlankTegn,
Tidstabel[[#This Row],[Emission_Netto]]-Tidstabel[[#This Row],[Vedligehold_EksisterendeFacade]]),BlankTegn)</f>
        <v>.</v>
      </c>
      <c r="P37" s="271" t="str">
        <f>IFERROR(IF(Tidstabel[[#This Row],[År]]&gt;Input_Tidshorisont,BlankTegn,
IF(AND(Tidstabel[[#This Row],[Emission_Netto]]-Tidstabel[[#This Row],[Vedligehold_EksisterendeFacade]]&gt;0,N38-L38&lt;0),-1,IF(AND(Tidstabel[[#This Row],[Emission_Netto]]-Tidstabel[[#This Row],[Vedligehold_EksisterendeFacade]]&lt;0,N38-L38&gt;0),1,0))),BlankTegn)</f>
        <v>.</v>
      </c>
      <c r="Q37" s="174" t="str">
        <f>IF(Tidstabel[[#This Row],[År]]&gt;Input_Tidshorisont,BlankTegn,
IF(Tidstabel[[#This Row],[LCA-Skæring]]=-1,SUM(Tidstabel[[#This Row],[År]]*(1-ABS(Tidstabel[[#This Row],[LCA-Difference]])/(ABS(Tidstabel[[#This Row],[LCA-Difference]])+ABS(O38))),A38*(1-ABS(O38)/(ABS(Tidstabel[[#This Row],[LCA-Difference]])+ABS(O38)))),"-"))</f>
        <v>-</v>
      </c>
      <c r="R37" s="174" t="str">
        <f>IF(Tidstabel[[#This Row],[År]]&gt;Input_Tidshorisont,BlankTegn,
IF(Tidstabel[[#This Row],[LCA-Skæring]]=-1,SUM(Tidstabel[[#This Row],[Emission_Netto]]*(1-ABS(Tidstabel[[#This Row],[LCA-Difference]])/(ABS(Tidstabel[[#This Row],[LCA-Difference]])+ABS(O38))),N38*(1-ABS(O38)/(ABS(Tidstabel[[#This Row],[LCA-Difference]])+ABS(O38)))),"-"))</f>
        <v>-</v>
      </c>
      <c r="S37" s="174" t="str">
        <f>IF(Tidstabel[[#This Row],[År]]&gt;Input_Tidshorisont,BlankTegn,
IF(Tidstabel[[#This Row],[LCA-Skæring]]=1,SUM(Tidstabel[[#This Row],[År]]*(1-ABS(Tidstabel[[#This Row],[LCA-Difference]])/(ABS(Tidstabel[[#This Row],[LCA-Difference]])+ABS(O38))),A38*(1-ABS(O38)/(ABS(Tidstabel[[#This Row],[LCA-Difference]])+ABS(O38)))),"-"))</f>
        <v>-</v>
      </c>
      <c r="T37" s="264" t="str">
        <f>IF(Tidstabel[[#This Row],[År]]&gt;Input_Tidshorisont,BlankTegn,
IF(Tidstabel[[#This Row],[LCA-Skæring]]=1,SUM(Tidstabel[[#This Row],[Emission_Netto]]*(1-ABS(Tidstabel[[#This Row],[LCA-Difference]])/(ABS(Tidstabel[[#This Row],[LCA-Difference]])+ABS(O38))),N38*(1-ABS(O38)/(ABS(Tidstabel[[#This Row],[LCA-Difference]])+ABS(O38)))),"-"))</f>
        <v>-</v>
      </c>
      <c r="U37" s="142" t="str">
        <f ca="1">IFERROR(IF(Tidstabel[[#This Row],[År]]&gt;Input_Tidshorisont,BlankTegn,
Tidstabel[[#This Row],[NPV_Klimafacade]]-Tidstabel[[#This Row],[NPV_Eksisterende]]),BlankTegn)</f>
        <v>.</v>
      </c>
      <c r="V37" s="271" t="str">
        <f ca="1">IFERROR(IF(Tidstabel[[#This Row],[År]]&gt;Input_Tidshorisont,BlankTegn,
IF(AND(Tidstabel[[#This Row],[NPV_Klimafacade]]-Tidstabel[[#This Row],[NPV_Eksisterende]]&gt;0,AB38-AA38&lt;0),1,IF(AND(Tidstabel[[#This Row],[NPV_Klimafacade]]-Tidstabel[[#This Row],[NPV_Eksisterende]]&lt;0,AB38-AA38&gt;0),-1,0))),BlankTegn)</f>
        <v>.</v>
      </c>
      <c r="W37" s="174" t="str">
        <f ca="1">IF(Tidstabel[[#This Row],[År]]&gt;Input_Tidshorisont,BlankTegn,
IF(Tidstabel[[#This Row],[LCC-Skæring]]=-1,SUM(Tidstabel[[#This Row],[År]]*(1-ABS(Tidstabel[[#This Row],[LCC-Difference]])/(ABS(Tidstabel[[#This Row],[LCC-Difference]])+ABS(U38))),A38*(1-ABS(U38)/(ABS(Tidstabel[[#This Row],[LCC-Difference]])+ABS(U38)))),"-"))</f>
        <v>-</v>
      </c>
      <c r="X37" s="174" t="str">
        <f ca="1">IF(Tidstabel[[#This Row],[År]]&gt;Input_Tidshorisont,BlankTegn,
IF(Tidstabel[[#This Row],[LCC-Skæring]]=-1,SUM(Tidstabel[[#This Row],[NPV_Klimafacade]]*(1-ABS(Tidstabel[[#This Row],[LCC-Difference]])/(ABS(Tidstabel[[#This Row],[LCC-Difference]])+ABS(U38))),AB38*(1-ABS(U38)/(ABS(Tidstabel[[#This Row],[LCC-Difference]])+ABS(U38)))),"-"))</f>
        <v>-</v>
      </c>
      <c r="Y37" s="174" t="str">
        <f ca="1">IF(Tidstabel[[#This Row],[År]]&gt;Input_Tidshorisont,BlankTegn,
IF(Tidstabel[[#This Row],[LCC-Skæring]]=1,SUM(Tidstabel[[#This Row],[År]]*(1-ABS(Tidstabel[[#This Row],[LCC-Difference]])/(ABS(Tidstabel[[#This Row],[LCC-Difference]])+ABS(U38))),A38*(1-ABS(U38)/(ABS(Tidstabel[[#This Row],[LCC-Difference]])+ABS(U38)))),"-"))</f>
        <v>-</v>
      </c>
      <c r="Z37" s="264" t="str">
        <f ca="1">IF(Tidstabel[[#This Row],[År]]&gt;Input_Tidshorisont,BlankTegn,
IF(Tidstabel[[#This Row],[LCC-Skæring]]=1,SUM(Tidstabel[[#This Row],[NPV_Klimafacade]]*(1-ABS(Tidstabel[[#This Row],[LCC-Difference]])/(ABS(Tidstabel[[#This Row],[LCC-Difference]])+ABS(U38))),AB38*(1-ABS(U38)/(ABS(Tidstabel[[#This Row],[LCC-Difference]])+ABS(U38)))),"-"))</f>
        <v>-</v>
      </c>
      <c r="AA37" s="142">
        <f ca="1">IF(Tidstabel[[#This Row],[År]]&gt;Input_Tidshorisont,BlankTegn,
Tidstabel[[#This Row],[EF_Vedligehold_Aggregeret]])</f>
        <v>-206.49199692716036</v>
      </c>
      <c r="AB37"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37" s="142" t="str">
        <f>IFERROR(IF(Tidstabel[[#This Row],[År]]&gt;Input_Tidshorisont,BlankTegn,
Tidstabel[[#This Row],[KF_Anskaffelse_Aggregeret]]+Tidstabel[[#This Row],[KF_Engangsudgifter_Aggregeret]]),BlankTegn)</f>
        <v>.</v>
      </c>
      <c r="AD37" s="174">
        <f ca="1">IFERROR(IF(Tidstabel[[#This Row],[År]]&gt;Input_Tidshorisont,BlankTegn,
IF(Tidstabel[[#This Row],[År]]=0,0,Tidstabel[[#This Row],[NPV_Eksisterende]]*(Tidstabel[[#This Row],[Kalkulationsrente]]/(1-(1+Tidstabel[[#This Row],[Kalkulationsrente]])^-Tidstabel[[#This Row],[År]])))),BlankTegn)</f>
        <v>-11.227244839205733</v>
      </c>
      <c r="AE37" s="264" t="str">
        <f ca="1">IFERROR(IF(Tidstabel[[#This Row],[År]]&gt;Input_Tidshorisont,BlankTegn,
IF(Tidstabel[[#This Row],[År]]=0,0,Tidstabel[[#This Row],[NPV_Klimafacade]]*(Tidstabel[[#This Row],[Kalkulationsrente]]/(1-(1+Tidstabel[[#This Row],[Kalkulationsrente]])^-Tidstabel[[#This Row],[År]])))),BlankTegn)</f>
        <v>.</v>
      </c>
      <c r="AF37" s="270">
        <f ca="1">IF(Tidstabel[[#This Row],[År]]&gt;Input_Tidshorisont,BlankTegn,
IF(EF_Vedligehold_i=1,IF(Tidstabel[[#This Row],[EF_Uds?]]=0,1,0),IF(MAX(AF36:OFFSET(AG36,2-EF_Vedligehold_i,0),Tidstabel[[#This Row],[EF_Uds?]])=0,1,0)))</f>
        <v>1</v>
      </c>
      <c r="AG37" s="181">
        <f>IF(Tidstabel[[#This Row],[År]]&gt;Input_Tidshorisont,BlankTegn,0)</f>
        <v>0</v>
      </c>
      <c r="AH37" s="263">
        <f ca="1">IF(Tidstabel[[#This Row],[År]]&gt;Input_Tidshorisont,BlankTegn,
Tidstabel[[#This Row],[EF_Ved?]]*EF_Vedligehold_p*-EF_Enhedspris*((1+Tidstabel[[#This Row],[Kalkulationsrente]])^-Tidstabel[[#This Row],[År]])*((1+PrisudviklingGenerelt)^Tidstabel[[#This Row],[År]]))</f>
        <v>-3.7937535162843838</v>
      </c>
      <c r="AI37" s="262">
        <f ca="1">IF(Tidstabel[[#This Row],[År]]&gt;Input_Tidshorisont,BlankTegn,
IF(Tidstabel[[#This Row],[År]]=0,Tidstabel[[#This Row],[EF_Vedligehold]],AI36+Tidstabel[[#This Row],[EF_Vedligehold]]))</f>
        <v>-206.49199692716036</v>
      </c>
      <c r="AJ37" s="245">
        <f>IFERROR(IF(Tidstabel[[#This Row],[År]]&gt;Input_Tidshorisont,BlankTegn,
Tidstabel[[#This Row],[FB_Anskaffelse]]+Tidstabel[[#This Row],[VS_Anskaffelse]]+Tidstabel[[#This Row],[EI_Anskaffelse]]+Tidstabel[[#This Row],[AP_Anskaffelse]]+Tidstabel[[#This Row],[SK_Anskaffelse]]),BlankTegn)</f>
        <v>0</v>
      </c>
      <c r="AK37" s="245" t="str">
        <f>IFERROR(IF(Tidstabel[[#This Row],[År]]&gt;Input_Tidshorisont,BlankTegn,
IF(Tidstabel[[#This Row],[År]]=0,Tidstabel[[#This Row],[KF_Anskaffelse]],AK36+Tidstabel[[#This Row],[KF_Anskaffelse]])),BlankTegn)</f>
        <v>.</v>
      </c>
      <c r="AL37" s="246" t="str">
        <f ca="1">IFERROR(IF(Tidstabel[[#This Row],[År]]&gt;Input_Tidshorisont,BlankTegn,
Tidstabel[[#This Row],[FB_Vedligehold]]+Tidstabel[[#This Row],[VS_Vedligehold]]+Tidstabel[[#This Row],[EI_Vedligehold]]+Tidstabel[[#This Row],[AP_Vedligehold]]+Tidstabel[[#This Row],[SK_Vedligehold]]),BlankTegn)</f>
        <v>.</v>
      </c>
      <c r="AM37" s="245" t="str">
        <f ca="1">IFERROR(IF(Tidstabel[[#This Row],[År]]&gt;Input_Tidshorisont,BlankTegn,
IF(Tidstabel[[#This Row],[År]]=0,Tidstabel[[#This Row],[KF_Vedligehold]],AM36+Tidstabel[[#This Row],[KF_Vedligehold]])),BlankTegn)</f>
        <v>.</v>
      </c>
      <c r="AN37"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37"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37" s="245" t="str">
        <f>IFERROR(IF(Tidstabel[[#This Row],[År]]&gt;Input_Tidshorisont,BlankTegn,
IF(Tidstabel[[#This Row],[År]]=0,Tidstabel[[#This Row],[KF_Udskiftning_Komponent]],AP36+Tidstabel[[#This Row],[KF_Udskiftning_Komponent]])),BlankTegn)</f>
        <v>.</v>
      </c>
      <c r="AQ37" s="245">
        <f>IF(Tidstabel[[#This Row],[År]]&gt;Input_Tidshorisont,BlankTegn,
IF(Tidstabel[[#This Row],[År]]=0,-SUM(Engangsudgifter[Udgift]),0))</f>
        <v>0</v>
      </c>
      <c r="AR37" s="245">
        <f>IFERROR(IF(Tidstabel[[#This Row],[År]]&gt;Input_Tidshorisont,BlankTegn,
IF(Tidstabel[[#This Row],[År]]=0,Tidstabel[[#This Row],[KF_Engangsudgifter]],AR36+Tidstabel[[#This Row],[KF_Engangsudgifter]])),BlankTegn)</f>
        <v>0</v>
      </c>
      <c r="AS37" s="315" t="str">
        <f>IFERROR(IF(Tidstabel[[#This Row],[År]]&gt;Input_Tidshorisont,BlankTegn,
-Energibesparelse_Årlig),BlankTegn)</f>
        <v>.</v>
      </c>
      <c r="AT37" s="245" t="str">
        <f>IFERROR(IF(Tidstabel[[#This Row],[År]]&gt;Input_Tidshorisont,BlankTegn,
IF(Tidstabel[[#This Row],[År]]=0,0,-Tidstabel[[#This Row],[KF_Energiforbrug]]*Input_Fjernvarmepris*((1+Tidstabel[[#This Row],[Kalkulationsrente]])^-Tidstabel[[#This Row],[År]])*((1+PrisudviklingFjernvarme)^Tidstabel[[#This Row],[År]]))),BlankTegn)</f>
        <v>.</v>
      </c>
      <c r="AU37" s="262" t="str">
        <f>IFERROR(IF(Tidstabel[[#This Row],[År]]&gt;Input_Tidshorisont,BlankTegn,
IF(Tidstabel[[#This Row],[År]]=0,Tidstabel[[#This Row],[KF_Forsyning]],AU36+Tidstabel[[#This Row],[KF_Forsyning]])),BlankTegn)</f>
        <v>.</v>
      </c>
      <c r="AV37" s="245">
        <f>IFERROR(IF(Tidstabel[[#This Row],[År]]&gt;Input_Tidshorisont,BlankTegn,
IF(Tidstabel[[#This Row],[År]]=0,-FB_Enhedspris,0)),BlankTegn)</f>
        <v>0</v>
      </c>
      <c r="AW37" s="245" t="str">
        <f>IFERROR(IF(Tidstabel[[#This Row],[År]]&gt;Input_Tidshorisont,BlankTegn,
IF(Tidstabel[[#This Row],[År]]=0,FB_Enhedspris/FB_Levetid,AW36*((1+Tidstabel[[#This Row],[Kalkulationsrente]])^-1)*((1+PrisudviklingGenerelt)^1))),BlankTegn)</f>
        <v>.</v>
      </c>
      <c r="AX37" s="178" t="str">
        <f ca="1">IFERROR(IF(Tidstabel[[#This Row],[År]]&gt;Input_Tidshorisont,BlankTegn,
IF(FB_Vedligehold_i=1,IF(Tidstabel[[#This Row],[FB_Uds?]]=0,1,0),IF(MAX(AX36:OFFSET(AY36,2-FB_Vedligehold_i,0),Tidstabel[[#This Row],[FB_Uds?]])=0,1,0))),BlankTegn)</f>
        <v>.</v>
      </c>
      <c r="AY37" s="178" t="str">
        <f>IFERROR(IF(Tidstabel[[#This Row],[År]]&gt;Input_Tidshorisont,BlankTegn,
IF(Tidstabel[[#This Row],[År]]=0,1,IF(MOD(Tidstabel[[#This Row],[År]],FB_Levetid)=0,1,IF(Tidstabel[[#This Row],[År]]=Input_Tidshorisont,0,0)))),BlankTegn)</f>
        <v>.</v>
      </c>
      <c r="AZ37" s="245" t="str">
        <f ca="1">IFERROR(IF(Tidstabel[[#This Row],[År]]&gt;Input_Tidshorisont,BlankTegn,
FB_Vedligehold_p*-FB_Enhedspris*Tidstabel[[#This Row],[FB_Ved?]]*((1+Tidstabel[[#This Row],[Kalkulationsrente]])^-Tidstabel[[#This Row],[År]])*((1+PrisudviklingGenerelt)^Tidstabel[[#This Row],[År]])),BlankTegn)</f>
        <v>.</v>
      </c>
      <c r="BA37" s="245" t="str">
        <f>IFERROR(IF(Tidstabel[[#This Row],[År]]&gt;Input_Tidshorisont,BlankTegn,
IF(Tidstabel[[#This Row],[År]]=0,FB_Enhedspris,SUM(BA36:BB36)*((1+Tidstabel[[#This Row],[Kalkulationsrente]])^-1)*((1+PrisudviklingGenerelt)^1)-Tidstabel[[#This Row],[FB_Afskrivning]])),BlankTegn)</f>
        <v>.</v>
      </c>
      <c r="BB37" s="245" t="str">
        <f>IFERROR(IF(Tidstabel[[#This Row],[År]]&gt;Input_Tidshorisont,BlankTegn,
IF(Tidstabel[[#This Row],[År]]=0,0,Tidstabel[[#This Row],[FB_Uds?]]*FB_Enhedspris*((1+Tidstabel[[#This Row],[Kalkulationsrente]])^-Tidstabel[[#This Row],[År]])*((1+PrisudviklingGenerelt)^Tidstabel[[#This Row],[År]]))),BlankTegn)</f>
        <v>.</v>
      </c>
      <c r="BC37" s="262" t="str">
        <f>IFERROR(IF(Tidstabel[[#This Row],[År]]&gt;Input_Tidshorisont,BlankTegn,
IF(Tidstabel[[#This Row],[År]]=0,0,Tidstabel[[#This Row],[FB_Uds?]]*-FB_Enhedspris*FB_Genoprettelse*((1+Tidstabel[[#This Row],[Kalkulationsrente]])^-Tidstabel[[#This Row],[År]])*((1+PrisudviklingGenerelt)^Tidstabel[[#This Row],[År]]))),BlankTegn)</f>
        <v>.</v>
      </c>
      <c r="BD37" s="245">
        <f>IFERROR(IF(Tidstabel[[#This Row],[År]]&gt;Input_Tidshorisont,BlankTegn,
IF(Tidstabel[[#This Row],[År]]=0,-VS_Enhedspris,0)),BlankTegn)</f>
        <v>0</v>
      </c>
      <c r="BE37" s="245" t="str">
        <f>IFERROR(IF(Tidstabel[[#This Row],[År]]&gt;Input_Tidshorisont,BlankTegn,
IF(Tidstabel[[#This Row],[År]]=0,VS_Enhedspris/VS_Levetid,BE36*((1+Tidstabel[[#This Row],[Kalkulationsrente]])^-1)*((1+PrisudviklingGenerelt)^1))),BlankTegn)</f>
        <v>.</v>
      </c>
      <c r="BF37" s="178" t="str">
        <f ca="1">IFERROR(IF(Tidstabel[[#This Row],[År]]&gt;Input_Tidshorisont,BlankTegn,
IF(VS_Vedligehold_i=1,IF(Tidstabel[[#This Row],[VS_Uds?]]=0,1,0),IF(MAX(BF36:OFFSET(BG36,2-VS_Vedligehold_i,0),Tidstabel[[#This Row],[VS_Uds?]])=0,1,0))),BlankTegn)</f>
        <v>.</v>
      </c>
      <c r="BG37" s="178" t="str">
        <f>IFERROR(IF(Tidstabel[[#This Row],[År]]&gt;Input_Tidshorisont,BlankTegn,
IF(Tidstabel[[#This Row],[År]]=0,1,IF(MOD(Tidstabel[[#This Row],[År]],VS_Levetid)=0,1,IF(Tidstabel[[#This Row],[År]]=Input_Tidshorisont,0,0)))),BlankTegn)</f>
        <v>.</v>
      </c>
      <c r="BH37" s="245" t="str">
        <f ca="1">IFERROR(IF(Tidstabel[[#This Row],[År]]&gt;Input_Tidshorisont,BlankTegn,
VS_Vedligehold_p*-VS_Enhedspris*Tidstabel[[#This Row],[VS_Ved?]]*((1+Tidstabel[[#This Row],[Kalkulationsrente]])^-Tidstabel[[#This Row],[År]])*((1+PrisudviklingGenerelt)^Tidstabel[[#This Row],[År]])),BlankTegn)</f>
        <v>.</v>
      </c>
      <c r="BI37" s="245" t="str">
        <f>IFERROR(IF(Tidstabel[[#This Row],[År]]&gt;Input_Tidshorisont,BlankTegn,
IF(Tidstabel[[#This Row],[År]]=0,VS_Enhedspris,SUM(BI36:BJ36)*((1+Tidstabel[[#This Row],[Kalkulationsrente]])^-1)*((1+PrisudviklingGenerelt)^1)-Tidstabel[[#This Row],[VS_Afskrivning]])),BlankTegn)</f>
        <v>.</v>
      </c>
      <c r="BJ37" s="245" t="str">
        <f>IFERROR(IF(Tidstabel[[#This Row],[År]]&gt;Input_Tidshorisont,BlankTegn,
IF(Tidstabel[[#This Row],[År]]=0,0,Tidstabel[[#This Row],[VS_Uds?]]*VS_Enhedspris*((1+Tidstabel[[#This Row],[Kalkulationsrente]])^-Tidstabel[[#This Row],[År]])*((1+PrisudviklingGenerelt)^Tidstabel[[#This Row],[År]]))),BlankTegn)</f>
        <v>.</v>
      </c>
      <c r="BK37" s="262" t="str">
        <f>IFERROR(IF(Tidstabel[[#This Row],[År]]&gt;Input_Tidshorisont,BlankTegn,
IF(Tidstabel[[#This Row],[År]]=0,0,Tidstabel[[#This Row],[VS_Uds?]]*-VS_Enhedspris*VS_Genoprettelse*((1+Tidstabel[[#This Row],[Kalkulationsrente]])^-Tidstabel[[#This Row],[År]])*((1+PrisudviklingGenerelt)^Tidstabel[[#This Row],[År]]))),BlankTegn)</f>
        <v>.</v>
      </c>
      <c r="BL37" s="245">
        <f>IFERROR(IF(Tidstabel[[#This Row],[År]]&gt;Input_Tidshorisont,BlankTegn,
IF(Tidstabel[[#This Row],[År]]=0,-EI_Enhedspris,0)),BlankTegn)</f>
        <v>0</v>
      </c>
      <c r="BM37" s="245" t="str">
        <f>IFERROR(IF(Tidstabel[[#This Row],[År]]&gt;Input_Tidshorisont,BlankTegn,
IF(Tidstabel[[#This Row],[År]]=0,EI_Enhedspris/EI_Levetid,BM36*((1+Tidstabel[[#This Row],[Kalkulationsrente]])^-1)*((1+PrisudviklingGenerelt)^1))),BlankTegn)</f>
        <v>.</v>
      </c>
      <c r="BN37" s="178" t="str">
        <f ca="1">IFERROR(IF(Tidstabel[[#This Row],[År]]&gt;Input_Tidshorisont,BlankTegn,
IF(EI_Vedligehold_i=1,IF(Tidstabel[[#This Row],[EI_Uds?]]=0,1,0),IF(MAX(BN36:OFFSET(BO36,2-EI_Vedligehold_i,0),Tidstabel[[#This Row],[EI_Uds?]])=0,1,0))),BlankTegn)</f>
        <v>.</v>
      </c>
      <c r="BO37" s="178" t="str">
        <f>IFERROR(IF(Tidstabel[[#This Row],[År]]&gt;Input_Tidshorisont,BlankTegn,
IF(Tidstabel[[#This Row],[År]]=0,1,IF(MOD(Tidstabel[[#This Row],[År]],EI_Levetid)=0,1,IF(Tidstabel[[#This Row],[År]]=Input_Tidshorisont,0,0)))),BlankTegn)</f>
        <v>.</v>
      </c>
      <c r="BP37" s="245" t="str">
        <f ca="1">IFERROR(IF(Tidstabel[[#This Row],[År]]&gt;Input_Tidshorisont,BlankTegn,
EI_Vedligehold_p*-EI_Enhedspris*Tidstabel[[#This Row],[EI_Ved?]]*((1+Tidstabel[[#This Row],[Kalkulationsrente]])^-Tidstabel[[#This Row],[År]])*((1+PrisudviklingGenerelt)^Tidstabel[[#This Row],[År]])),BlankTegn)</f>
        <v>.</v>
      </c>
      <c r="BQ37" s="245" t="str">
        <f>IFERROR(IF(Tidstabel[[#This Row],[År]]&gt;Input_Tidshorisont,BlankTegn,
IF(Tidstabel[[#This Row],[År]]=0,EI_Enhedspris,SUM(BQ36:BR36)*((1+Tidstabel[[#This Row],[Kalkulationsrente]])^-1)*((1+PrisudviklingGenerelt)^1)-Tidstabel[[#This Row],[EI_Afskrivning]])),BlankTegn)</f>
        <v>.</v>
      </c>
      <c r="BR37" s="245" t="str">
        <f>IFERROR(IF(Tidstabel[[#This Row],[År]]&gt;Input_Tidshorisont,BlankTegn,
IF(Tidstabel[[#This Row],[År]]=0,0,Tidstabel[[#This Row],[EI_Uds?]]*EI_Enhedspris*((1+Tidstabel[[#This Row],[Kalkulationsrente]])^-Tidstabel[[#This Row],[År]])*((1+PrisudviklingGenerelt)^Tidstabel[[#This Row],[År]]))),BlankTegn)</f>
        <v>.</v>
      </c>
      <c r="BS37" s="262" t="str">
        <f>IFERROR(IF(Tidstabel[[#This Row],[År]]&gt;Input_Tidshorisont,BlankTegn,
IF(Tidstabel[[#This Row],[År]]=0,0,Tidstabel[[#This Row],[EI_Uds?]]*-EI_Enhedspris*EI_Genoprettelse*((1+Tidstabel[[#This Row],[Kalkulationsrente]])^-Tidstabel[[#This Row],[År]])*((1+PrisudviklingGenerelt)^Tidstabel[[#This Row],[År]]))),BlankTegn)</f>
        <v>.</v>
      </c>
      <c r="BT37" s="245">
        <f>IFERROR(IF(Tidstabel[[#This Row],[År]]&gt;Input_Tidshorisont,BlankTegn,
IF(Tidstabel[[#This Row],[År]]=0,-AP_Enhedspris,0)),BlankTegn)</f>
        <v>0</v>
      </c>
      <c r="BU37" s="245" t="str">
        <f>IFERROR(IF(Tidstabel[[#This Row],[År]]&gt;Input_Tidshorisont,BlankTegn,
IF(Tidstabel[[#This Row],[År]]=0,AP_Enhedspris/AP_Levetid,BU36*((1+Tidstabel[[#This Row],[Kalkulationsrente]])^-1)*((1+PrisudviklingGenerelt)^1))),BlankTegn)</f>
        <v>.</v>
      </c>
      <c r="BV37" s="178" t="str">
        <f ca="1">IFERROR(IF(Tidstabel[[#This Row],[År]]&gt;Input_Tidshorisont,BlankTegn,
IF(AP_Vedligehold_i=1,IF(Tidstabel[[#This Row],[AP_Uds?]]=0,1,0),IF(MAX(BV36:OFFSET(BW36,2-AP_Vedligehold_i,0),Tidstabel[[#This Row],[AP_Uds?]])=0,1,0))),BlankTegn)</f>
        <v>.</v>
      </c>
      <c r="BW37" s="178" t="str">
        <f>IFERROR(IF(Tidstabel[[#This Row],[År]]&gt;Input_Tidshorisont,BlankTegn,
IF(Tidstabel[[#This Row],[År]]=0,1,IF(MOD(Tidstabel[[#This Row],[År]],AP_Levetid)=0,1,IF(Tidstabel[[#This Row],[År]]=Input_Tidshorisont,0,0)))),BlankTegn)</f>
        <v>.</v>
      </c>
      <c r="BX37" s="245" t="str">
        <f ca="1">IFERROR(IF(Tidstabel[[#This Row],[År]]&gt;Input_Tidshorisont,BlankTegn,
AP_Vedligehold_p*-AP_Enhedspris*Tidstabel[[#This Row],[AP_Ved?]]*((1+Tidstabel[[#This Row],[Kalkulationsrente]])^-Tidstabel[[#This Row],[År]])*((1+PrisudviklingGenerelt)^Tidstabel[[#This Row],[År]])),BlankTegn)</f>
        <v>.</v>
      </c>
      <c r="BY37" s="245" t="str">
        <f>IFERROR(IF(Tidstabel[[#This Row],[År]]&gt;Input_Tidshorisont,BlankTegn,
IF(Tidstabel[[#This Row],[År]]=0,AP_Enhedspris,SUM(BY36:BZ36)*((1+Tidstabel[[#This Row],[Kalkulationsrente]])^-1)*((1+PrisudviklingGenerelt)^1)-Tidstabel[[#This Row],[AP_Afskrivning]])),BlankTegn)</f>
        <v>.</v>
      </c>
      <c r="BZ37" s="245" t="str">
        <f>IFERROR(IF(Tidstabel[[#This Row],[År]]&gt;Input_Tidshorisont,BlankTegn,
IF(Tidstabel[[#This Row],[År]]=0,0,Tidstabel[[#This Row],[AP_Uds?]]*AP_Enhedspris*((1+Tidstabel[[#This Row],[Kalkulationsrente]])^-Tidstabel[[#This Row],[År]])*((1+PrisudviklingGenerelt)^Tidstabel[[#This Row],[År]]))),BlankTegn)</f>
        <v>.</v>
      </c>
      <c r="CA37" s="262" t="str">
        <f>IFERROR(IF(Tidstabel[[#This Row],[År]]&gt;Input_Tidshorisont,BlankTegn,
IF(Tidstabel[[#This Row],[År]]=0,0,Tidstabel[[#This Row],[AP_Uds?]]*-AP_Enhedspris*AP_Genoprettelse*((1+Tidstabel[[#This Row],[Kalkulationsrente]])^-Tidstabel[[#This Row],[År]])*((1+PrisudviklingGenerelt)^Tidstabel[[#This Row],[År]]))),BlankTegn)</f>
        <v>.</v>
      </c>
      <c r="CB37" s="245">
        <f>IFERROR(IF(Tidstabel[[#This Row],[År]]&gt;Input_Tidshorisont,BlankTegn,
IF(Tidstabel[[#This Row],[År]]=0,-SK_Enhedspris,0)),BlankTegn)</f>
        <v>0</v>
      </c>
      <c r="CC37" s="245" t="str">
        <f>IFERROR(IF(Tidstabel[[#This Row],[År]]&gt;Input_Tidshorisont,BlankTegn,
IF(Tidstabel[[#This Row],[År]]=0,SK_Enhedspris/SK_Levetid,CC36*((1+Tidstabel[[#This Row],[Kalkulationsrente]])^-1)*((1+PrisudviklingGenerelt)^1))),BlankTegn)</f>
        <v>.</v>
      </c>
      <c r="CD37" s="178" t="str">
        <f ca="1">IFERROR(IF(Tidstabel[[#This Row],[År]]&gt;Input_Tidshorisont,BlankTegn,
IF(SK_Vedligehold_i=1,IF(Tidstabel[[#This Row],[SK_Uds?]]=0,1,0),IF(MAX(CD36:OFFSET(CE36,2-SK_Vedligehold_i,0),Tidstabel[[#This Row],[SK_Uds?]])=0,1,0))),BlankTegn)</f>
        <v>.</v>
      </c>
      <c r="CE37" s="178" t="str">
        <f>IFERROR(IF(Tidstabel[[#This Row],[År]]&gt;Input_Tidshorisont,BlankTegn,
IF(Tidstabel[[#This Row],[År]]=0,1,IF(MOD(Tidstabel[[#This Row],[År]],SK_Levetid)=0,1,IF(Tidstabel[[#This Row],[År]]=Input_Tidshorisont,0,0)))),BlankTegn)</f>
        <v>.</v>
      </c>
      <c r="CF37" s="245" t="str">
        <f ca="1">IFERROR(IF(Tidstabel[[#This Row],[År]]&gt;Input_Tidshorisont,BlankTegn,
SK_Vedligehold_p*-SK_Enhedspris*Tidstabel[[#This Row],[SK_Ved?]]*((1+Tidstabel[[#This Row],[Kalkulationsrente]])^-Tidstabel[[#This Row],[År]])*((1+PrisudviklingGenerelt)^Tidstabel[[#This Row],[År]])),BlankTegn)</f>
        <v>.</v>
      </c>
      <c r="CG37" s="245" t="str">
        <f>IFERROR(IF(Tidstabel[[#This Row],[År]]&gt;Input_Tidshorisont,BlankTegn,
IF(Tidstabel[[#This Row],[År]]=0,SK_Enhedspris,SUM(CG36:CH36)*((1+Tidstabel[[#This Row],[Kalkulationsrente]])^-1)*((1+PrisudviklingGenerelt)^1)-Tidstabel[[#This Row],[SK_Afskrivning]])),BlankTegn)</f>
        <v>.</v>
      </c>
      <c r="CH37" s="245" t="str">
        <f>IFERROR(IF(Tidstabel[[#This Row],[År]]&gt;Input_Tidshorisont,BlankTegn,
IF(Tidstabel[[#This Row],[År]]=0,0,Tidstabel[[#This Row],[SK_Uds?]]*SK_Enhedspris*((1+Tidstabel[[#This Row],[Kalkulationsrente]])^-Tidstabel[[#This Row],[År]])*((1+PrisudviklingGenerelt)^Tidstabel[[#This Row],[År]]))),BlankTegn)</f>
        <v>.</v>
      </c>
      <c r="CI37" s="262" t="str">
        <f>IFERROR(IF(Tidstabel[[#This Row],[År]]&gt;Input_Tidshorisont,BlankTegn,
IF(Tidstabel[[#This Row],[År]]=0,0,Tidstabel[[#This Row],[SK_Uds?]]*-SK_Enhedspris*SK_Genoprettelse*((1+Tidstabel[[#This Row],[Kalkulationsrente]])^-Tidstabel[[#This Row],[År]])*((1+PrisudviklingGenerelt)^Tidstabel[[#This Row],[År]]))),BlankTegn)</f>
        <v>.</v>
      </c>
      <c r="CJ37" s="19"/>
    </row>
    <row r="38" spans="1:88">
      <c r="A38" s="250">
        <v>31</v>
      </c>
      <c r="B38" s="250">
        <f>Input_Etableringsår+Tidstabel[[#This Row],[År]]</f>
        <v>2055</v>
      </c>
      <c r="C38" s="274" cm="1">
        <f t="array" ref="C38">_xlfn.IFS(Tidstabel[[#This Row],[År]]&gt;KR_Trin3_Tærskel,KR_Trin3_Rente,Tidstabel[[#This Row],[År]]&gt;KR_Trin2_Tærskel,KR_Trin2_Rente,Tidstabel[[#This Row],[År]]&gt;KR_Trin1_Tærskel,KR_Trin1_Rente,Tidstabel[[#This Row],[År]]&gt;KR_Trin0_Tærskel,KR_Trin0_Rente)</f>
        <v>3.5000000000000003E-2</v>
      </c>
      <c r="D38" s="142" t="str" cm="1">
        <f t="array" ref="D38">IFERROR(
INDEX(Range_Materiale_ÅrligeEmissioner,MATCH(1,(Materialedata[Komponent]=FB_Titel)*(Materialedata[Materiale]=FB_Materiale),0),MATCH(Tidstabel[[#This Row],[År]],Range_Materiale_År,0)),BlankTegn)</f>
        <v>.</v>
      </c>
      <c r="E38" s="142" t="str" cm="1">
        <f t="array" ref="E38">IFERROR(
INDEX(Range_Materiale_ÅrligeEmissioner,MATCH(1,(Materialedata[Komponent]=SK_Titel)*(Materialedata[Materiale]=SK_Materiale),0),MATCH(Tidstabel[[#This Row],[År]],Range_Materiale_År,0)),BlankTegn)</f>
        <v>.</v>
      </c>
      <c r="F38" s="142" t="str" cm="1">
        <f t="array" ref="F38">IFERROR(
INDEX(Range_Materiale_ÅrligeEmissioner,MATCH(1,(Materialedata[Komponent]=EI_Titel)*(Materialedata[Materiale]=EI_Materiale),0),MATCH(Tidstabel[[#This Row],[År]],Range_Materiale_År,0)),BlankTegn)</f>
        <v>.</v>
      </c>
      <c r="G38" s="142" t="str" cm="1">
        <f t="array" ref="G38">IFERROR(
INDEX(Range_Materiale_ÅrligeEmissioner,MATCH(1,(Materialedata[Komponent]=AP_Titel)*(Materialedata[Materiale]=AP_Materiale),0),MATCH(Tidstabel[[#This Row],[År]],Range_Materiale_År,0)),BlankTegn)</f>
        <v>.</v>
      </c>
      <c r="H38" s="142" t="str" cm="1">
        <f t="array" ref="H38">IFERROR(
INDEX(Range_Materiale_ÅrligeEmissioner,MATCH(1,(Materialedata[Komponent]=VS_Titel)*(Materialedata[Materiale]=VS_Materiale),0),MATCH(Tidstabel[[#This Row],[År]],Range_Materiale_År,0)),BlankTegn)</f>
        <v>.</v>
      </c>
      <c r="I38" s="142" t="str">
        <f>IFERROR(
IF(SUM(Tidstabel[[#This Row],[Facadebeklædning]:[Vindspærre]])=0,BlankTegn,
SUM(Tidstabel[[#This Row],[Facadebeklædning]:[Vindspærre]])),BlankTegn)</f>
        <v>.</v>
      </c>
      <c r="J38" s="139">
        <f>IF(Tidstabel[[#This Row],[År]]&gt;Input_Tidshorisont,BlankTegn,
A5_ElVarmeBrændstofByggeplads)</f>
        <v>0.25</v>
      </c>
      <c r="K38" s="142" t="str">
        <f>IFERROR(IF(Tidstabel[[#This Row],[År]]&gt;Input_Tidshorisont,BlankTegn,
-1*INDEX(Range_Energi_ÅrligBesparelse,MATCH(Input_EksisterendeFacade,Energiberegning[Ydervæg],0),MATCH(Tidstabel[[#This Row],[Årstal]],Range_Energi_Årstal,0))),BlankTegn)</f>
        <v>.</v>
      </c>
      <c r="L38" s="142">
        <f>IF(Tidstabel[[#This Row],[År]]&gt;Input_Tidshorisont,BlankTegn,
(Tidstabel[[#This Row],[År]]+1)*(SUM(Vedligeholdelsesmaterialer[Facadefarve],Vedligeholdelsesmaterialer[Grunder og mellemmaling])/12+SUM(Vedligeholdelsesmaterialer[Puds])/30))</f>
        <v>10.395337146666666</v>
      </c>
      <c r="M38" s="142" t="str">
        <f>IFERROR(IF(Tidstabel[[#This Row],[År]]&gt;Input_Tidshorisont,BlankTegn,
Tidstabel[[#This Row],[Materialer_Total]]+Tidstabel[[#This Row],[Byggeprocess]]),BlankTegn)</f>
        <v>.</v>
      </c>
      <c r="N38" s="142" t="str">
        <f>IFERROR(IF(Tidstabel[[#This Row],[År]]&gt;Input_Tidshorisont,BlankTegn,
Tidstabel[[#This Row],[Energibesparelse]]+Tidstabel[[#This Row],[Emission_Brutto]]),BlankTegn)</f>
        <v>.</v>
      </c>
      <c r="O38" s="142" t="str">
        <f>IFERROR(IF(Tidstabel[[#This Row],[År]]&gt;Input_Tidshorisont,BlankTegn,
Tidstabel[[#This Row],[Emission_Netto]]-Tidstabel[[#This Row],[Vedligehold_EksisterendeFacade]]),BlankTegn)</f>
        <v>.</v>
      </c>
      <c r="P38" s="271" t="str">
        <f>IFERROR(IF(Tidstabel[[#This Row],[År]]&gt;Input_Tidshorisont,BlankTegn,
IF(AND(Tidstabel[[#This Row],[Emission_Netto]]-Tidstabel[[#This Row],[Vedligehold_EksisterendeFacade]]&gt;0,N39-L39&lt;0),-1,IF(AND(Tidstabel[[#This Row],[Emission_Netto]]-Tidstabel[[#This Row],[Vedligehold_EksisterendeFacade]]&lt;0,N39-L39&gt;0),1,0))),BlankTegn)</f>
        <v>.</v>
      </c>
      <c r="Q38" s="174" t="str">
        <f>IF(Tidstabel[[#This Row],[År]]&gt;Input_Tidshorisont,BlankTegn,
IF(Tidstabel[[#This Row],[LCA-Skæring]]=-1,SUM(Tidstabel[[#This Row],[År]]*(1-ABS(Tidstabel[[#This Row],[LCA-Difference]])/(ABS(Tidstabel[[#This Row],[LCA-Difference]])+ABS(O39))),A39*(1-ABS(O39)/(ABS(Tidstabel[[#This Row],[LCA-Difference]])+ABS(O39)))),"-"))</f>
        <v>-</v>
      </c>
      <c r="R38" s="174" t="str">
        <f>IF(Tidstabel[[#This Row],[År]]&gt;Input_Tidshorisont,BlankTegn,
IF(Tidstabel[[#This Row],[LCA-Skæring]]=-1,SUM(Tidstabel[[#This Row],[Emission_Netto]]*(1-ABS(Tidstabel[[#This Row],[LCA-Difference]])/(ABS(Tidstabel[[#This Row],[LCA-Difference]])+ABS(O39))),N39*(1-ABS(O39)/(ABS(Tidstabel[[#This Row],[LCA-Difference]])+ABS(O39)))),"-"))</f>
        <v>-</v>
      </c>
      <c r="S38" s="174" t="str">
        <f>IF(Tidstabel[[#This Row],[År]]&gt;Input_Tidshorisont,BlankTegn,
IF(Tidstabel[[#This Row],[LCA-Skæring]]=1,SUM(Tidstabel[[#This Row],[År]]*(1-ABS(Tidstabel[[#This Row],[LCA-Difference]])/(ABS(Tidstabel[[#This Row],[LCA-Difference]])+ABS(O39))),A39*(1-ABS(O39)/(ABS(Tidstabel[[#This Row],[LCA-Difference]])+ABS(O39)))),"-"))</f>
        <v>-</v>
      </c>
      <c r="T38" s="264" t="str">
        <f>IF(Tidstabel[[#This Row],[År]]&gt;Input_Tidshorisont,BlankTegn,
IF(Tidstabel[[#This Row],[LCA-Skæring]]=1,SUM(Tidstabel[[#This Row],[Emission_Netto]]*(1-ABS(Tidstabel[[#This Row],[LCA-Difference]])/(ABS(Tidstabel[[#This Row],[LCA-Difference]])+ABS(O39))),N39*(1-ABS(O39)/(ABS(Tidstabel[[#This Row],[LCA-Difference]])+ABS(O39)))),"-"))</f>
        <v>-</v>
      </c>
      <c r="U38" s="142" t="str">
        <f ca="1">IFERROR(IF(Tidstabel[[#This Row],[År]]&gt;Input_Tidshorisont,BlankTegn,
Tidstabel[[#This Row],[NPV_Klimafacade]]-Tidstabel[[#This Row],[NPV_Eksisterende]]),BlankTegn)</f>
        <v>.</v>
      </c>
      <c r="V38" s="271" t="str">
        <f ca="1">IFERROR(IF(Tidstabel[[#This Row],[År]]&gt;Input_Tidshorisont,BlankTegn,
IF(AND(Tidstabel[[#This Row],[NPV_Klimafacade]]-Tidstabel[[#This Row],[NPV_Eksisterende]]&gt;0,AB39-AA39&lt;0),1,IF(AND(Tidstabel[[#This Row],[NPV_Klimafacade]]-Tidstabel[[#This Row],[NPV_Eksisterende]]&lt;0,AB39-AA39&gt;0),-1,0))),BlankTegn)</f>
        <v>.</v>
      </c>
      <c r="W38" s="174" t="str">
        <f ca="1">IF(Tidstabel[[#This Row],[År]]&gt;Input_Tidshorisont,BlankTegn,
IF(Tidstabel[[#This Row],[LCC-Skæring]]=-1,SUM(Tidstabel[[#This Row],[År]]*(1-ABS(Tidstabel[[#This Row],[LCC-Difference]])/(ABS(Tidstabel[[#This Row],[LCC-Difference]])+ABS(U39))),A39*(1-ABS(U39)/(ABS(Tidstabel[[#This Row],[LCC-Difference]])+ABS(U39)))),"-"))</f>
        <v>-</v>
      </c>
      <c r="X38" s="174" t="str">
        <f ca="1">IF(Tidstabel[[#This Row],[År]]&gt;Input_Tidshorisont,BlankTegn,
IF(Tidstabel[[#This Row],[LCC-Skæring]]=-1,SUM(Tidstabel[[#This Row],[NPV_Klimafacade]]*(1-ABS(Tidstabel[[#This Row],[LCC-Difference]])/(ABS(Tidstabel[[#This Row],[LCC-Difference]])+ABS(U39))),AB39*(1-ABS(U39)/(ABS(Tidstabel[[#This Row],[LCC-Difference]])+ABS(U39)))),"-"))</f>
        <v>-</v>
      </c>
      <c r="Y38" s="174" t="str">
        <f ca="1">IF(Tidstabel[[#This Row],[År]]&gt;Input_Tidshorisont,BlankTegn,
IF(Tidstabel[[#This Row],[LCC-Skæring]]=1,SUM(Tidstabel[[#This Row],[År]]*(1-ABS(Tidstabel[[#This Row],[LCC-Difference]])/(ABS(Tidstabel[[#This Row],[LCC-Difference]])+ABS(U39))),A39*(1-ABS(U39)/(ABS(Tidstabel[[#This Row],[LCC-Difference]])+ABS(U39)))),"-"))</f>
        <v>-</v>
      </c>
      <c r="Z38" s="264" t="str">
        <f ca="1">IF(Tidstabel[[#This Row],[År]]&gt;Input_Tidshorisont,BlankTegn,
IF(Tidstabel[[#This Row],[LCC-Skæring]]=1,SUM(Tidstabel[[#This Row],[NPV_Klimafacade]]*(1-ABS(Tidstabel[[#This Row],[LCC-Difference]])/(ABS(Tidstabel[[#This Row],[LCC-Difference]])+ABS(U39))),AB39*(1-ABS(U39)/(ABS(Tidstabel[[#This Row],[LCC-Difference]])+ABS(U39)))),"-"))</f>
        <v>-</v>
      </c>
      <c r="AA38" s="142">
        <f ca="1">IF(Tidstabel[[#This Row],[År]]&gt;Input_Tidshorisont,BlankTegn,
Tidstabel[[#This Row],[EF_Vedligehold_Aggregeret]])</f>
        <v>-210.15745926173463</v>
      </c>
      <c r="AB38"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38" s="142" t="str">
        <f>IFERROR(IF(Tidstabel[[#This Row],[År]]&gt;Input_Tidshorisont,BlankTegn,
Tidstabel[[#This Row],[KF_Anskaffelse_Aggregeret]]+Tidstabel[[#This Row],[KF_Engangsudgifter_Aggregeret]]),BlankTegn)</f>
        <v>.</v>
      </c>
      <c r="AD38" s="174">
        <f ca="1">IFERROR(IF(Tidstabel[[#This Row],[År]]&gt;Input_Tidshorisont,BlankTegn,
IF(Tidstabel[[#This Row],[År]]=0,0,Tidstabel[[#This Row],[NPV_Eksisterende]]*(Tidstabel[[#This Row],[Kalkulationsrente]]/(1-(1+Tidstabel[[#This Row],[Kalkulationsrente]])^-Tidstabel[[#This Row],[År]])))),BlankTegn)</f>
        <v>-11.216607929787715</v>
      </c>
      <c r="AE38" s="264" t="str">
        <f ca="1">IFERROR(IF(Tidstabel[[#This Row],[År]]&gt;Input_Tidshorisont,BlankTegn,
IF(Tidstabel[[#This Row],[År]]=0,0,Tidstabel[[#This Row],[NPV_Klimafacade]]*(Tidstabel[[#This Row],[Kalkulationsrente]]/(1-(1+Tidstabel[[#This Row],[Kalkulationsrente]])^-Tidstabel[[#This Row],[År]])))),BlankTegn)</f>
        <v>.</v>
      </c>
      <c r="AF38" s="270">
        <f ca="1">IF(Tidstabel[[#This Row],[År]]&gt;Input_Tidshorisont,BlankTegn,
IF(EF_Vedligehold_i=1,IF(Tidstabel[[#This Row],[EF_Uds?]]=0,1,0),IF(MAX(AF37:OFFSET(AG37,2-EF_Vedligehold_i,0),Tidstabel[[#This Row],[EF_Uds?]])=0,1,0)))</f>
        <v>1</v>
      </c>
      <c r="AG38" s="181">
        <f>IF(Tidstabel[[#This Row],[År]]&gt;Input_Tidshorisont,BlankTegn,0)</f>
        <v>0</v>
      </c>
      <c r="AH38" s="263">
        <f ca="1">IF(Tidstabel[[#This Row],[År]]&gt;Input_Tidshorisont,BlankTegn,
Tidstabel[[#This Row],[EF_Ved?]]*EF_Vedligehold_p*-EF_Enhedspris*((1+Tidstabel[[#This Row],[Kalkulationsrente]])^-Tidstabel[[#This Row],[År]])*((1+PrisudviklingGenerelt)^Tidstabel[[#This Row],[År]]))</f>
        <v>-3.6654623345742841</v>
      </c>
      <c r="AI38" s="262">
        <f ca="1">IF(Tidstabel[[#This Row],[År]]&gt;Input_Tidshorisont,BlankTegn,
IF(Tidstabel[[#This Row],[År]]=0,Tidstabel[[#This Row],[EF_Vedligehold]],AI37+Tidstabel[[#This Row],[EF_Vedligehold]]))</f>
        <v>-210.15745926173463</v>
      </c>
      <c r="AJ38" s="245">
        <f>IFERROR(IF(Tidstabel[[#This Row],[År]]&gt;Input_Tidshorisont,BlankTegn,
Tidstabel[[#This Row],[FB_Anskaffelse]]+Tidstabel[[#This Row],[VS_Anskaffelse]]+Tidstabel[[#This Row],[EI_Anskaffelse]]+Tidstabel[[#This Row],[AP_Anskaffelse]]+Tidstabel[[#This Row],[SK_Anskaffelse]]),BlankTegn)</f>
        <v>0</v>
      </c>
      <c r="AK38" s="245" t="str">
        <f>IFERROR(IF(Tidstabel[[#This Row],[År]]&gt;Input_Tidshorisont,BlankTegn,
IF(Tidstabel[[#This Row],[År]]=0,Tidstabel[[#This Row],[KF_Anskaffelse]],AK37+Tidstabel[[#This Row],[KF_Anskaffelse]])),BlankTegn)</f>
        <v>.</v>
      </c>
      <c r="AL38" s="246" t="str">
        <f ca="1">IFERROR(IF(Tidstabel[[#This Row],[År]]&gt;Input_Tidshorisont,BlankTegn,
Tidstabel[[#This Row],[FB_Vedligehold]]+Tidstabel[[#This Row],[VS_Vedligehold]]+Tidstabel[[#This Row],[EI_Vedligehold]]+Tidstabel[[#This Row],[AP_Vedligehold]]+Tidstabel[[#This Row],[SK_Vedligehold]]),BlankTegn)</f>
        <v>.</v>
      </c>
      <c r="AM38" s="245" t="str">
        <f ca="1">IFERROR(IF(Tidstabel[[#This Row],[År]]&gt;Input_Tidshorisont,BlankTegn,
IF(Tidstabel[[#This Row],[År]]=0,Tidstabel[[#This Row],[KF_Vedligehold]],AM37+Tidstabel[[#This Row],[KF_Vedligehold]])),BlankTegn)</f>
        <v>.</v>
      </c>
      <c r="AN38"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38"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38" s="245" t="str">
        <f>IFERROR(IF(Tidstabel[[#This Row],[År]]&gt;Input_Tidshorisont,BlankTegn,
IF(Tidstabel[[#This Row],[År]]=0,Tidstabel[[#This Row],[KF_Udskiftning_Komponent]],AP37+Tidstabel[[#This Row],[KF_Udskiftning_Komponent]])),BlankTegn)</f>
        <v>.</v>
      </c>
      <c r="AQ38" s="245">
        <f>IF(Tidstabel[[#This Row],[År]]&gt;Input_Tidshorisont,BlankTegn,
IF(Tidstabel[[#This Row],[År]]=0,-SUM(Engangsudgifter[Udgift]),0))</f>
        <v>0</v>
      </c>
      <c r="AR38" s="245">
        <f>IFERROR(IF(Tidstabel[[#This Row],[År]]&gt;Input_Tidshorisont,BlankTegn,
IF(Tidstabel[[#This Row],[År]]=0,Tidstabel[[#This Row],[KF_Engangsudgifter]],AR37+Tidstabel[[#This Row],[KF_Engangsudgifter]])),BlankTegn)</f>
        <v>0</v>
      </c>
      <c r="AS38" s="315" t="str">
        <f>IFERROR(IF(Tidstabel[[#This Row],[År]]&gt;Input_Tidshorisont,BlankTegn,
-Energibesparelse_Årlig),BlankTegn)</f>
        <v>.</v>
      </c>
      <c r="AT38" s="245" t="str">
        <f>IFERROR(IF(Tidstabel[[#This Row],[År]]&gt;Input_Tidshorisont,BlankTegn,
IF(Tidstabel[[#This Row],[År]]=0,0,-Tidstabel[[#This Row],[KF_Energiforbrug]]*Input_Fjernvarmepris*((1+Tidstabel[[#This Row],[Kalkulationsrente]])^-Tidstabel[[#This Row],[År]])*((1+PrisudviklingFjernvarme)^Tidstabel[[#This Row],[År]]))),BlankTegn)</f>
        <v>.</v>
      </c>
      <c r="AU38" s="262" t="str">
        <f>IFERROR(IF(Tidstabel[[#This Row],[År]]&gt;Input_Tidshorisont,BlankTegn,
IF(Tidstabel[[#This Row],[År]]=0,Tidstabel[[#This Row],[KF_Forsyning]],AU37+Tidstabel[[#This Row],[KF_Forsyning]])),BlankTegn)</f>
        <v>.</v>
      </c>
      <c r="AV38" s="245">
        <f>IFERROR(IF(Tidstabel[[#This Row],[År]]&gt;Input_Tidshorisont,BlankTegn,
IF(Tidstabel[[#This Row],[År]]=0,-FB_Enhedspris,0)),BlankTegn)</f>
        <v>0</v>
      </c>
      <c r="AW38" s="245" t="str">
        <f>IFERROR(IF(Tidstabel[[#This Row],[År]]&gt;Input_Tidshorisont,BlankTegn,
IF(Tidstabel[[#This Row],[År]]=0,FB_Enhedspris/FB_Levetid,AW37*((1+Tidstabel[[#This Row],[Kalkulationsrente]])^-1)*((1+PrisudviklingGenerelt)^1))),BlankTegn)</f>
        <v>.</v>
      </c>
      <c r="AX38" s="178" t="str">
        <f ca="1">IFERROR(IF(Tidstabel[[#This Row],[År]]&gt;Input_Tidshorisont,BlankTegn,
IF(FB_Vedligehold_i=1,IF(Tidstabel[[#This Row],[FB_Uds?]]=0,1,0),IF(MAX(AX37:OFFSET(AY37,2-FB_Vedligehold_i,0),Tidstabel[[#This Row],[FB_Uds?]])=0,1,0))),BlankTegn)</f>
        <v>.</v>
      </c>
      <c r="AY38" s="178" t="str">
        <f>IFERROR(IF(Tidstabel[[#This Row],[År]]&gt;Input_Tidshorisont,BlankTegn,
IF(Tidstabel[[#This Row],[År]]=0,1,IF(MOD(Tidstabel[[#This Row],[År]],FB_Levetid)=0,1,IF(Tidstabel[[#This Row],[År]]=Input_Tidshorisont,0,0)))),BlankTegn)</f>
        <v>.</v>
      </c>
      <c r="AZ38" s="245" t="str">
        <f ca="1">IFERROR(IF(Tidstabel[[#This Row],[År]]&gt;Input_Tidshorisont,BlankTegn,
FB_Vedligehold_p*-FB_Enhedspris*Tidstabel[[#This Row],[FB_Ved?]]*((1+Tidstabel[[#This Row],[Kalkulationsrente]])^-Tidstabel[[#This Row],[År]])*((1+PrisudviklingGenerelt)^Tidstabel[[#This Row],[År]])),BlankTegn)</f>
        <v>.</v>
      </c>
      <c r="BA38" s="245" t="str">
        <f>IFERROR(IF(Tidstabel[[#This Row],[År]]&gt;Input_Tidshorisont,BlankTegn,
IF(Tidstabel[[#This Row],[År]]=0,FB_Enhedspris,SUM(BA37:BB37)*((1+Tidstabel[[#This Row],[Kalkulationsrente]])^-1)*((1+PrisudviklingGenerelt)^1)-Tidstabel[[#This Row],[FB_Afskrivning]])),BlankTegn)</f>
        <v>.</v>
      </c>
      <c r="BB38" s="245" t="str">
        <f>IFERROR(IF(Tidstabel[[#This Row],[År]]&gt;Input_Tidshorisont,BlankTegn,
IF(Tidstabel[[#This Row],[År]]=0,0,Tidstabel[[#This Row],[FB_Uds?]]*FB_Enhedspris*((1+Tidstabel[[#This Row],[Kalkulationsrente]])^-Tidstabel[[#This Row],[År]])*((1+PrisudviklingGenerelt)^Tidstabel[[#This Row],[År]]))),BlankTegn)</f>
        <v>.</v>
      </c>
      <c r="BC38" s="262" t="str">
        <f>IFERROR(IF(Tidstabel[[#This Row],[År]]&gt;Input_Tidshorisont,BlankTegn,
IF(Tidstabel[[#This Row],[År]]=0,0,Tidstabel[[#This Row],[FB_Uds?]]*-FB_Enhedspris*FB_Genoprettelse*((1+Tidstabel[[#This Row],[Kalkulationsrente]])^-Tidstabel[[#This Row],[År]])*((1+PrisudviklingGenerelt)^Tidstabel[[#This Row],[År]]))),BlankTegn)</f>
        <v>.</v>
      </c>
      <c r="BD38" s="245">
        <f>IFERROR(IF(Tidstabel[[#This Row],[År]]&gt;Input_Tidshorisont,BlankTegn,
IF(Tidstabel[[#This Row],[År]]=0,-VS_Enhedspris,0)),BlankTegn)</f>
        <v>0</v>
      </c>
      <c r="BE38" s="245" t="str">
        <f>IFERROR(IF(Tidstabel[[#This Row],[År]]&gt;Input_Tidshorisont,BlankTegn,
IF(Tidstabel[[#This Row],[År]]=0,VS_Enhedspris/VS_Levetid,BE37*((1+Tidstabel[[#This Row],[Kalkulationsrente]])^-1)*((1+PrisudviklingGenerelt)^1))),BlankTegn)</f>
        <v>.</v>
      </c>
      <c r="BF38" s="178" t="str">
        <f ca="1">IFERROR(IF(Tidstabel[[#This Row],[År]]&gt;Input_Tidshorisont,BlankTegn,
IF(VS_Vedligehold_i=1,IF(Tidstabel[[#This Row],[VS_Uds?]]=0,1,0),IF(MAX(BF37:OFFSET(BG37,2-VS_Vedligehold_i,0),Tidstabel[[#This Row],[VS_Uds?]])=0,1,0))),BlankTegn)</f>
        <v>.</v>
      </c>
      <c r="BG38" s="178" t="str">
        <f>IFERROR(IF(Tidstabel[[#This Row],[År]]&gt;Input_Tidshorisont,BlankTegn,
IF(Tidstabel[[#This Row],[År]]=0,1,IF(MOD(Tidstabel[[#This Row],[År]],VS_Levetid)=0,1,IF(Tidstabel[[#This Row],[År]]=Input_Tidshorisont,0,0)))),BlankTegn)</f>
        <v>.</v>
      </c>
      <c r="BH38" s="245" t="str">
        <f ca="1">IFERROR(IF(Tidstabel[[#This Row],[År]]&gt;Input_Tidshorisont,BlankTegn,
VS_Vedligehold_p*-VS_Enhedspris*Tidstabel[[#This Row],[VS_Ved?]]*((1+Tidstabel[[#This Row],[Kalkulationsrente]])^-Tidstabel[[#This Row],[År]])*((1+PrisudviklingGenerelt)^Tidstabel[[#This Row],[År]])),BlankTegn)</f>
        <v>.</v>
      </c>
      <c r="BI38" s="245" t="str">
        <f>IFERROR(IF(Tidstabel[[#This Row],[År]]&gt;Input_Tidshorisont,BlankTegn,
IF(Tidstabel[[#This Row],[År]]=0,VS_Enhedspris,SUM(BI37:BJ37)*((1+Tidstabel[[#This Row],[Kalkulationsrente]])^-1)*((1+PrisudviklingGenerelt)^1)-Tidstabel[[#This Row],[VS_Afskrivning]])),BlankTegn)</f>
        <v>.</v>
      </c>
      <c r="BJ38" s="245" t="str">
        <f>IFERROR(IF(Tidstabel[[#This Row],[År]]&gt;Input_Tidshorisont,BlankTegn,
IF(Tidstabel[[#This Row],[År]]=0,0,Tidstabel[[#This Row],[VS_Uds?]]*VS_Enhedspris*((1+Tidstabel[[#This Row],[Kalkulationsrente]])^-Tidstabel[[#This Row],[År]])*((1+PrisudviklingGenerelt)^Tidstabel[[#This Row],[År]]))),BlankTegn)</f>
        <v>.</v>
      </c>
      <c r="BK38" s="262" t="str">
        <f>IFERROR(IF(Tidstabel[[#This Row],[År]]&gt;Input_Tidshorisont,BlankTegn,
IF(Tidstabel[[#This Row],[År]]=0,0,Tidstabel[[#This Row],[VS_Uds?]]*-VS_Enhedspris*VS_Genoprettelse*((1+Tidstabel[[#This Row],[Kalkulationsrente]])^-Tidstabel[[#This Row],[År]])*((1+PrisudviklingGenerelt)^Tidstabel[[#This Row],[År]]))),BlankTegn)</f>
        <v>.</v>
      </c>
      <c r="BL38" s="245">
        <f>IFERROR(IF(Tidstabel[[#This Row],[År]]&gt;Input_Tidshorisont,BlankTegn,
IF(Tidstabel[[#This Row],[År]]=0,-EI_Enhedspris,0)),BlankTegn)</f>
        <v>0</v>
      </c>
      <c r="BM38" s="245" t="str">
        <f>IFERROR(IF(Tidstabel[[#This Row],[År]]&gt;Input_Tidshorisont,BlankTegn,
IF(Tidstabel[[#This Row],[År]]=0,EI_Enhedspris/EI_Levetid,BM37*((1+Tidstabel[[#This Row],[Kalkulationsrente]])^-1)*((1+PrisudviklingGenerelt)^1))),BlankTegn)</f>
        <v>.</v>
      </c>
      <c r="BN38" s="178" t="str">
        <f ca="1">IFERROR(IF(Tidstabel[[#This Row],[År]]&gt;Input_Tidshorisont,BlankTegn,
IF(EI_Vedligehold_i=1,IF(Tidstabel[[#This Row],[EI_Uds?]]=0,1,0),IF(MAX(BN37:OFFSET(BO37,2-EI_Vedligehold_i,0),Tidstabel[[#This Row],[EI_Uds?]])=0,1,0))),BlankTegn)</f>
        <v>.</v>
      </c>
      <c r="BO38" s="178" t="str">
        <f>IFERROR(IF(Tidstabel[[#This Row],[År]]&gt;Input_Tidshorisont,BlankTegn,
IF(Tidstabel[[#This Row],[År]]=0,1,IF(MOD(Tidstabel[[#This Row],[År]],EI_Levetid)=0,1,IF(Tidstabel[[#This Row],[År]]=Input_Tidshorisont,0,0)))),BlankTegn)</f>
        <v>.</v>
      </c>
      <c r="BP38" s="245" t="str">
        <f ca="1">IFERROR(IF(Tidstabel[[#This Row],[År]]&gt;Input_Tidshorisont,BlankTegn,
EI_Vedligehold_p*-EI_Enhedspris*Tidstabel[[#This Row],[EI_Ved?]]*((1+Tidstabel[[#This Row],[Kalkulationsrente]])^-Tidstabel[[#This Row],[År]])*((1+PrisudviklingGenerelt)^Tidstabel[[#This Row],[År]])),BlankTegn)</f>
        <v>.</v>
      </c>
      <c r="BQ38" s="245" t="str">
        <f>IFERROR(IF(Tidstabel[[#This Row],[År]]&gt;Input_Tidshorisont,BlankTegn,
IF(Tidstabel[[#This Row],[År]]=0,EI_Enhedspris,SUM(BQ37:BR37)*((1+Tidstabel[[#This Row],[Kalkulationsrente]])^-1)*((1+PrisudviklingGenerelt)^1)-Tidstabel[[#This Row],[EI_Afskrivning]])),BlankTegn)</f>
        <v>.</v>
      </c>
      <c r="BR38" s="245" t="str">
        <f>IFERROR(IF(Tidstabel[[#This Row],[År]]&gt;Input_Tidshorisont,BlankTegn,
IF(Tidstabel[[#This Row],[År]]=0,0,Tidstabel[[#This Row],[EI_Uds?]]*EI_Enhedspris*((1+Tidstabel[[#This Row],[Kalkulationsrente]])^-Tidstabel[[#This Row],[År]])*((1+PrisudviklingGenerelt)^Tidstabel[[#This Row],[År]]))),BlankTegn)</f>
        <v>.</v>
      </c>
      <c r="BS38" s="262" t="str">
        <f>IFERROR(IF(Tidstabel[[#This Row],[År]]&gt;Input_Tidshorisont,BlankTegn,
IF(Tidstabel[[#This Row],[År]]=0,0,Tidstabel[[#This Row],[EI_Uds?]]*-EI_Enhedspris*EI_Genoprettelse*((1+Tidstabel[[#This Row],[Kalkulationsrente]])^-Tidstabel[[#This Row],[År]])*((1+PrisudviklingGenerelt)^Tidstabel[[#This Row],[År]]))),BlankTegn)</f>
        <v>.</v>
      </c>
      <c r="BT38" s="245">
        <f>IFERROR(IF(Tidstabel[[#This Row],[År]]&gt;Input_Tidshorisont,BlankTegn,
IF(Tidstabel[[#This Row],[År]]=0,-AP_Enhedspris,0)),BlankTegn)</f>
        <v>0</v>
      </c>
      <c r="BU38" s="245" t="str">
        <f>IFERROR(IF(Tidstabel[[#This Row],[År]]&gt;Input_Tidshorisont,BlankTegn,
IF(Tidstabel[[#This Row],[År]]=0,AP_Enhedspris/AP_Levetid,BU37*((1+Tidstabel[[#This Row],[Kalkulationsrente]])^-1)*((1+PrisudviklingGenerelt)^1))),BlankTegn)</f>
        <v>.</v>
      </c>
      <c r="BV38" s="178" t="str">
        <f ca="1">IFERROR(IF(Tidstabel[[#This Row],[År]]&gt;Input_Tidshorisont,BlankTegn,
IF(AP_Vedligehold_i=1,IF(Tidstabel[[#This Row],[AP_Uds?]]=0,1,0),IF(MAX(BV37:OFFSET(BW37,2-AP_Vedligehold_i,0),Tidstabel[[#This Row],[AP_Uds?]])=0,1,0))),BlankTegn)</f>
        <v>.</v>
      </c>
      <c r="BW38" s="178" t="str">
        <f>IFERROR(IF(Tidstabel[[#This Row],[År]]&gt;Input_Tidshorisont,BlankTegn,
IF(Tidstabel[[#This Row],[År]]=0,1,IF(MOD(Tidstabel[[#This Row],[År]],AP_Levetid)=0,1,IF(Tidstabel[[#This Row],[År]]=Input_Tidshorisont,0,0)))),BlankTegn)</f>
        <v>.</v>
      </c>
      <c r="BX38" s="245" t="str">
        <f ca="1">IFERROR(IF(Tidstabel[[#This Row],[År]]&gt;Input_Tidshorisont,BlankTegn,
AP_Vedligehold_p*-AP_Enhedspris*Tidstabel[[#This Row],[AP_Ved?]]*((1+Tidstabel[[#This Row],[Kalkulationsrente]])^-Tidstabel[[#This Row],[År]])*((1+PrisudviklingGenerelt)^Tidstabel[[#This Row],[År]])),BlankTegn)</f>
        <v>.</v>
      </c>
      <c r="BY38" s="245" t="str">
        <f>IFERROR(IF(Tidstabel[[#This Row],[År]]&gt;Input_Tidshorisont,BlankTegn,
IF(Tidstabel[[#This Row],[År]]=0,AP_Enhedspris,SUM(BY37:BZ37)*((1+Tidstabel[[#This Row],[Kalkulationsrente]])^-1)*((1+PrisudviklingGenerelt)^1)-Tidstabel[[#This Row],[AP_Afskrivning]])),BlankTegn)</f>
        <v>.</v>
      </c>
      <c r="BZ38" s="245" t="str">
        <f>IFERROR(IF(Tidstabel[[#This Row],[År]]&gt;Input_Tidshorisont,BlankTegn,
IF(Tidstabel[[#This Row],[År]]=0,0,Tidstabel[[#This Row],[AP_Uds?]]*AP_Enhedspris*((1+Tidstabel[[#This Row],[Kalkulationsrente]])^-Tidstabel[[#This Row],[År]])*((1+PrisudviklingGenerelt)^Tidstabel[[#This Row],[År]]))),BlankTegn)</f>
        <v>.</v>
      </c>
      <c r="CA38" s="262" t="str">
        <f>IFERROR(IF(Tidstabel[[#This Row],[År]]&gt;Input_Tidshorisont,BlankTegn,
IF(Tidstabel[[#This Row],[År]]=0,0,Tidstabel[[#This Row],[AP_Uds?]]*-AP_Enhedspris*AP_Genoprettelse*((1+Tidstabel[[#This Row],[Kalkulationsrente]])^-Tidstabel[[#This Row],[År]])*((1+PrisudviklingGenerelt)^Tidstabel[[#This Row],[År]]))),BlankTegn)</f>
        <v>.</v>
      </c>
      <c r="CB38" s="245">
        <f>IFERROR(IF(Tidstabel[[#This Row],[År]]&gt;Input_Tidshorisont,BlankTegn,
IF(Tidstabel[[#This Row],[År]]=0,-SK_Enhedspris,0)),BlankTegn)</f>
        <v>0</v>
      </c>
      <c r="CC38" s="245" t="str">
        <f>IFERROR(IF(Tidstabel[[#This Row],[År]]&gt;Input_Tidshorisont,BlankTegn,
IF(Tidstabel[[#This Row],[År]]=0,SK_Enhedspris/SK_Levetid,CC37*((1+Tidstabel[[#This Row],[Kalkulationsrente]])^-1)*((1+PrisudviklingGenerelt)^1))),BlankTegn)</f>
        <v>.</v>
      </c>
      <c r="CD38" s="178" t="str">
        <f ca="1">IFERROR(IF(Tidstabel[[#This Row],[År]]&gt;Input_Tidshorisont,BlankTegn,
IF(SK_Vedligehold_i=1,IF(Tidstabel[[#This Row],[SK_Uds?]]=0,1,0),IF(MAX(CD37:OFFSET(CE37,2-SK_Vedligehold_i,0),Tidstabel[[#This Row],[SK_Uds?]])=0,1,0))),BlankTegn)</f>
        <v>.</v>
      </c>
      <c r="CE38" s="178" t="str">
        <f>IFERROR(IF(Tidstabel[[#This Row],[År]]&gt;Input_Tidshorisont,BlankTegn,
IF(Tidstabel[[#This Row],[År]]=0,1,IF(MOD(Tidstabel[[#This Row],[År]],SK_Levetid)=0,1,IF(Tidstabel[[#This Row],[År]]=Input_Tidshorisont,0,0)))),BlankTegn)</f>
        <v>.</v>
      </c>
      <c r="CF38" s="245" t="str">
        <f ca="1">IFERROR(IF(Tidstabel[[#This Row],[År]]&gt;Input_Tidshorisont,BlankTegn,
SK_Vedligehold_p*-SK_Enhedspris*Tidstabel[[#This Row],[SK_Ved?]]*((1+Tidstabel[[#This Row],[Kalkulationsrente]])^-Tidstabel[[#This Row],[År]])*((1+PrisudviklingGenerelt)^Tidstabel[[#This Row],[År]])),BlankTegn)</f>
        <v>.</v>
      </c>
      <c r="CG38" s="245" t="str">
        <f>IFERROR(IF(Tidstabel[[#This Row],[År]]&gt;Input_Tidshorisont,BlankTegn,
IF(Tidstabel[[#This Row],[År]]=0,SK_Enhedspris,SUM(CG37:CH37)*((1+Tidstabel[[#This Row],[Kalkulationsrente]])^-1)*((1+PrisudviklingGenerelt)^1)-Tidstabel[[#This Row],[SK_Afskrivning]])),BlankTegn)</f>
        <v>.</v>
      </c>
      <c r="CH38" s="245" t="str">
        <f>IFERROR(IF(Tidstabel[[#This Row],[År]]&gt;Input_Tidshorisont,BlankTegn,
IF(Tidstabel[[#This Row],[År]]=0,0,Tidstabel[[#This Row],[SK_Uds?]]*SK_Enhedspris*((1+Tidstabel[[#This Row],[Kalkulationsrente]])^-Tidstabel[[#This Row],[År]])*((1+PrisudviklingGenerelt)^Tidstabel[[#This Row],[År]]))),BlankTegn)</f>
        <v>.</v>
      </c>
      <c r="CI38" s="262" t="str">
        <f>IFERROR(IF(Tidstabel[[#This Row],[År]]&gt;Input_Tidshorisont,BlankTegn,
IF(Tidstabel[[#This Row],[År]]=0,0,Tidstabel[[#This Row],[SK_Uds?]]*-SK_Enhedspris*SK_Genoprettelse*((1+Tidstabel[[#This Row],[Kalkulationsrente]])^-Tidstabel[[#This Row],[År]])*((1+PrisudviklingGenerelt)^Tidstabel[[#This Row],[År]]))),BlankTegn)</f>
        <v>.</v>
      </c>
      <c r="CJ38" s="19"/>
    </row>
    <row r="39" spans="1:88">
      <c r="A39" s="250">
        <v>32</v>
      </c>
      <c r="B39" s="250">
        <f>Input_Etableringsår+Tidstabel[[#This Row],[År]]</f>
        <v>2056</v>
      </c>
      <c r="C39" s="274" cm="1">
        <f t="array" ref="C39">_xlfn.IFS(Tidstabel[[#This Row],[År]]&gt;KR_Trin3_Tærskel,KR_Trin3_Rente,Tidstabel[[#This Row],[År]]&gt;KR_Trin2_Tærskel,KR_Trin2_Rente,Tidstabel[[#This Row],[År]]&gt;KR_Trin1_Tærskel,KR_Trin1_Rente,Tidstabel[[#This Row],[År]]&gt;KR_Trin0_Tærskel,KR_Trin0_Rente)</f>
        <v>3.5000000000000003E-2</v>
      </c>
      <c r="D39" s="142" t="str" cm="1">
        <f t="array" ref="D39">IFERROR(
INDEX(Range_Materiale_ÅrligeEmissioner,MATCH(1,(Materialedata[Komponent]=FB_Titel)*(Materialedata[Materiale]=FB_Materiale),0),MATCH(Tidstabel[[#This Row],[År]],Range_Materiale_År,0)),BlankTegn)</f>
        <v>.</v>
      </c>
      <c r="E39" s="142" t="str" cm="1">
        <f t="array" ref="E39">IFERROR(
INDEX(Range_Materiale_ÅrligeEmissioner,MATCH(1,(Materialedata[Komponent]=SK_Titel)*(Materialedata[Materiale]=SK_Materiale),0),MATCH(Tidstabel[[#This Row],[År]],Range_Materiale_År,0)),BlankTegn)</f>
        <v>.</v>
      </c>
      <c r="F39" s="142" t="str" cm="1">
        <f t="array" ref="F39">IFERROR(
INDEX(Range_Materiale_ÅrligeEmissioner,MATCH(1,(Materialedata[Komponent]=EI_Titel)*(Materialedata[Materiale]=EI_Materiale),0),MATCH(Tidstabel[[#This Row],[År]],Range_Materiale_År,0)),BlankTegn)</f>
        <v>.</v>
      </c>
      <c r="G39" s="142" t="str" cm="1">
        <f t="array" ref="G39">IFERROR(
INDEX(Range_Materiale_ÅrligeEmissioner,MATCH(1,(Materialedata[Komponent]=AP_Titel)*(Materialedata[Materiale]=AP_Materiale),0),MATCH(Tidstabel[[#This Row],[År]],Range_Materiale_År,0)),BlankTegn)</f>
        <v>.</v>
      </c>
      <c r="H39" s="142" t="str" cm="1">
        <f t="array" ref="H39">IFERROR(
INDEX(Range_Materiale_ÅrligeEmissioner,MATCH(1,(Materialedata[Komponent]=VS_Titel)*(Materialedata[Materiale]=VS_Materiale),0),MATCH(Tidstabel[[#This Row],[År]],Range_Materiale_År,0)),BlankTegn)</f>
        <v>.</v>
      </c>
      <c r="I39" s="142" t="str">
        <f>IFERROR(
IF(SUM(Tidstabel[[#This Row],[Facadebeklædning]:[Vindspærre]])=0,BlankTegn,
SUM(Tidstabel[[#This Row],[Facadebeklædning]:[Vindspærre]])),BlankTegn)</f>
        <v>.</v>
      </c>
      <c r="J39" s="139">
        <f>IF(Tidstabel[[#This Row],[År]]&gt;Input_Tidshorisont,BlankTegn,
A5_ElVarmeBrændstofByggeplads)</f>
        <v>0.25</v>
      </c>
      <c r="K39" s="142" t="str">
        <f>IFERROR(IF(Tidstabel[[#This Row],[År]]&gt;Input_Tidshorisont,BlankTegn,
-1*INDEX(Range_Energi_ÅrligBesparelse,MATCH(Input_EksisterendeFacade,Energiberegning[Ydervæg],0),MATCH(Tidstabel[[#This Row],[Årstal]],Range_Energi_Årstal,0))),BlankTegn)</f>
        <v>.</v>
      </c>
      <c r="L39" s="142">
        <f>IF(Tidstabel[[#This Row],[År]]&gt;Input_Tidshorisont,BlankTegn,
(Tidstabel[[#This Row],[År]]+1)*(SUM(Vedligeholdelsesmaterialer[Facadefarve],Vedligeholdelsesmaterialer[Grunder og mellemmaling])/12+SUM(Vedligeholdelsesmaterialer[Puds])/30))</f>
        <v>10.7201914325</v>
      </c>
      <c r="M39" s="142" t="str">
        <f>IFERROR(IF(Tidstabel[[#This Row],[År]]&gt;Input_Tidshorisont,BlankTegn,
Tidstabel[[#This Row],[Materialer_Total]]+Tidstabel[[#This Row],[Byggeprocess]]),BlankTegn)</f>
        <v>.</v>
      </c>
      <c r="N39" s="142" t="str">
        <f>IFERROR(IF(Tidstabel[[#This Row],[År]]&gt;Input_Tidshorisont,BlankTegn,
Tidstabel[[#This Row],[Energibesparelse]]+Tidstabel[[#This Row],[Emission_Brutto]]),BlankTegn)</f>
        <v>.</v>
      </c>
      <c r="O39" s="142" t="str">
        <f>IFERROR(IF(Tidstabel[[#This Row],[År]]&gt;Input_Tidshorisont,BlankTegn,
Tidstabel[[#This Row],[Emission_Netto]]-Tidstabel[[#This Row],[Vedligehold_EksisterendeFacade]]),BlankTegn)</f>
        <v>.</v>
      </c>
      <c r="P39" s="271" t="str">
        <f>IFERROR(IF(Tidstabel[[#This Row],[År]]&gt;Input_Tidshorisont,BlankTegn,
IF(AND(Tidstabel[[#This Row],[Emission_Netto]]-Tidstabel[[#This Row],[Vedligehold_EksisterendeFacade]]&gt;0,N40-L40&lt;0),-1,IF(AND(Tidstabel[[#This Row],[Emission_Netto]]-Tidstabel[[#This Row],[Vedligehold_EksisterendeFacade]]&lt;0,N40-L40&gt;0),1,0))),BlankTegn)</f>
        <v>.</v>
      </c>
      <c r="Q39" s="174" t="str">
        <f>IF(Tidstabel[[#This Row],[År]]&gt;Input_Tidshorisont,BlankTegn,
IF(Tidstabel[[#This Row],[LCA-Skæring]]=-1,SUM(Tidstabel[[#This Row],[År]]*(1-ABS(Tidstabel[[#This Row],[LCA-Difference]])/(ABS(Tidstabel[[#This Row],[LCA-Difference]])+ABS(O40))),A40*(1-ABS(O40)/(ABS(Tidstabel[[#This Row],[LCA-Difference]])+ABS(O40)))),"-"))</f>
        <v>-</v>
      </c>
      <c r="R39" s="174" t="str">
        <f>IF(Tidstabel[[#This Row],[År]]&gt;Input_Tidshorisont,BlankTegn,
IF(Tidstabel[[#This Row],[LCA-Skæring]]=-1,SUM(Tidstabel[[#This Row],[Emission_Netto]]*(1-ABS(Tidstabel[[#This Row],[LCA-Difference]])/(ABS(Tidstabel[[#This Row],[LCA-Difference]])+ABS(O40))),N40*(1-ABS(O40)/(ABS(Tidstabel[[#This Row],[LCA-Difference]])+ABS(O40)))),"-"))</f>
        <v>-</v>
      </c>
      <c r="S39" s="174" t="str">
        <f>IF(Tidstabel[[#This Row],[År]]&gt;Input_Tidshorisont,BlankTegn,
IF(Tidstabel[[#This Row],[LCA-Skæring]]=1,SUM(Tidstabel[[#This Row],[År]]*(1-ABS(Tidstabel[[#This Row],[LCA-Difference]])/(ABS(Tidstabel[[#This Row],[LCA-Difference]])+ABS(O40))),A40*(1-ABS(O40)/(ABS(Tidstabel[[#This Row],[LCA-Difference]])+ABS(O40)))),"-"))</f>
        <v>-</v>
      </c>
      <c r="T39" s="264" t="str">
        <f>IF(Tidstabel[[#This Row],[År]]&gt;Input_Tidshorisont,BlankTegn,
IF(Tidstabel[[#This Row],[LCA-Skæring]]=1,SUM(Tidstabel[[#This Row],[Emission_Netto]]*(1-ABS(Tidstabel[[#This Row],[LCA-Difference]])/(ABS(Tidstabel[[#This Row],[LCA-Difference]])+ABS(O40))),N40*(1-ABS(O40)/(ABS(Tidstabel[[#This Row],[LCA-Difference]])+ABS(O40)))),"-"))</f>
        <v>-</v>
      </c>
      <c r="U39" s="142" t="str">
        <f ca="1">IFERROR(IF(Tidstabel[[#This Row],[År]]&gt;Input_Tidshorisont,BlankTegn,
Tidstabel[[#This Row],[NPV_Klimafacade]]-Tidstabel[[#This Row],[NPV_Eksisterende]]),BlankTegn)</f>
        <v>.</v>
      </c>
      <c r="V39" s="271" t="str">
        <f ca="1">IFERROR(IF(Tidstabel[[#This Row],[År]]&gt;Input_Tidshorisont,BlankTegn,
IF(AND(Tidstabel[[#This Row],[NPV_Klimafacade]]-Tidstabel[[#This Row],[NPV_Eksisterende]]&gt;0,AB40-AA40&lt;0),1,IF(AND(Tidstabel[[#This Row],[NPV_Klimafacade]]-Tidstabel[[#This Row],[NPV_Eksisterende]]&lt;0,AB40-AA40&gt;0),-1,0))),BlankTegn)</f>
        <v>.</v>
      </c>
      <c r="W39" s="174" t="str">
        <f ca="1">IF(Tidstabel[[#This Row],[År]]&gt;Input_Tidshorisont,BlankTegn,
IF(Tidstabel[[#This Row],[LCC-Skæring]]=-1,SUM(Tidstabel[[#This Row],[År]]*(1-ABS(Tidstabel[[#This Row],[LCC-Difference]])/(ABS(Tidstabel[[#This Row],[LCC-Difference]])+ABS(U40))),A40*(1-ABS(U40)/(ABS(Tidstabel[[#This Row],[LCC-Difference]])+ABS(U40)))),"-"))</f>
        <v>-</v>
      </c>
      <c r="X39" s="174" t="str">
        <f ca="1">IF(Tidstabel[[#This Row],[År]]&gt;Input_Tidshorisont,BlankTegn,
IF(Tidstabel[[#This Row],[LCC-Skæring]]=-1,SUM(Tidstabel[[#This Row],[NPV_Klimafacade]]*(1-ABS(Tidstabel[[#This Row],[LCC-Difference]])/(ABS(Tidstabel[[#This Row],[LCC-Difference]])+ABS(U40))),AB40*(1-ABS(U40)/(ABS(Tidstabel[[#This Row],[LCC-Difference]])+ABS(U40)))),"-"))</f>
        <v>-</v>
      </c>
      <c r="Y39" s="174" t="str">
        <f ca="1">IF(Tidstabel[[#This Row],[År]]&gt;Input_Tidshorisont,BlankTegn,
IF(Tidstabel[[#This Row],[LCC-Skæring]]=1,SUM(Tidstabel[[#This Row],[År]]*(1-ABS(Tidstabel[[#This Row],[LCC-Difference]])/(ABS(Tidstabel[[#This Row],[LCC-Difference]])+ABS(U40))),A40*(1-ABS(U40)/(ABS(Tidstabel[[#This Row],[LCC-Difference]])+ABS(U40)))),"-"))</f>
        <v>-</v>
      </c>
      <c r="Z39" s="264" t="str">
        <f ca="1">IF(Tidstabel[[#This Row],[År]]&gt;Input_Tidshorisont,BlankTegn,
IF(Tidstabel[[#This Row],[LCC-Skæring]]=1,SUM(Tidstabel[[#This Row],[NPV_Klimafacade]]*(1-ABS(Tidstabel[[#This Row],[LCC-Difference]])/(ABS(Tidstabel[[#This Row],[LCC-Difference]])+ABS(U40))),AB40*(1-ABS(U40)/(ABS(Tidstabel[[#This Row],[LCC-Difference]])+ABS(U40)))),"-"))</f>
        <v>-</v>
      </c>
      <c r="AA39" s="142">
        <f ca="1">IF(Tidstabel[[#This Row],[År]]&gt;Input_Tidshorisont,BlankTegn,
Tidstabel[[#This Row],[EF_Vedligehold_Aggregeret]])</f>
        <v>-213.69896876373878</v>
      </c>
      <c r="AB39"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39" s="142" t="str">
        <f>IFERROR(IF(Tidstabel[[#This Row],[År]]&gt;Input_Tidshorisont,BlankTegn,
Tidstabel[[#This Row],[KF_Anskaffelse_Aggregeret]]+Tidstabel[[#This Row],[KF_Engangsudgifter_Aggregeret]]),BlankTegn)</f>
        <v>.</v>
      </c>
      <c r="AD39" s="174">
        <f ca="1">IFERROR(IF(Tidstabel[[#This Row],[År]]&gt;Input_Tidshorisont,BlankTegn,
IF(Tidstabel[[#This Row],[År]]=0,0,Tidstabel[[#This Row],[NPV_Eksisterende]]*(Tidstabel[[#This Row],[Kalkulationsrente]]/(1-(1+Tidstabel[[#This Row],[Kalkulationsrente]])^-Tidstabel[[#This Row],[År]])))),BlankTegn)</f>
        <v>-11.206695496285372</v>
      </c>
      <c r="AE39" s="264" t="str">
        <f ca="1">IFERROR(IF(Tidstabel[[#This Row],[År]]&gt;Input_Tidshorisont,BlankTegn,
IF(Tidstabel[[#This Row],[År]]=0,0,Tidstabel[[#This Row],[NPV_Klimafacade]]*(Tidstabel[[#This Row],[Kalkulationsrente]]/(1-(1+Tidstabel[[#This Row],[Kalkulationsrente]])^-Tidstabel[[#This Row],[År]])))),BlankTegn)</f>
        <v>.</v>
      </c>
      <c r="AF39" s="270">
        <f ca="1">IF(Tidstabel[[#This Row],[År]]&gt;Input_Tidshorisont,BlankTegn,
IF(EF_Vedligehold_i=1,IF(Tidstabel[[#This Row],[EF_Uds?]]=0,1,0),IF(MAX(AF38:OFFSET(AG38,2-EF_Vedligehold_i,0),Tidstabel[[#This Row],[EF_Uds?]])=0,1,0)))</f>
        <v>1</v>
      </c>
      <c r="AG39" s="181">
        <f>IF(Tidstabel[[#This Row],[År]]&gt;Input_Tidshorisont,BlankTegn,0)</f>
        <v>0</v>
      </c>
      <c r="AH39" s="263">
        <f ca="1">IF(Tidstabel[[#This Row],[År]]&gt;Input_Tidshorisont,BlankTegn,
Tidstabel[[#This Row],[EF_Ved?]]*EF_Vedligehold_p*-EF_Enhedspris*((1+Tidstabel[[#This Row],[Kalkulationsrente]])^-Tidstabel[[#This Row],[År]])*((1+PrisudviklingGenerelt)^Tidstabel[[#This Row],[År]]))</f>
        <v>-3.5415095020041401</v>
      </c>
      <c r="AI39" s="262">
        <f ca="1">IF(Tidstabel[[#This Row],[År]]&gt;Input_Tidshorisont,BlankTegn,
IF(Tidstabel[[#This Row],[År]]=0,Tidstabel[[#This Row],[EF_Vedligehold]],AI38+Tidstabel[[#This Row],[EF_Vedligehold]]))</f>
        <v>-213.69896876373878</v>
      </c>
      <c r="AJ39" s="245">
        <f>IFERROR(IF(Tidstabel[[#This Row],[År]]&gt;Input_Tidshorisont,BlankTegn,
Tidstabel[[#This Row],[FB_Anskaffelse]]+Tidstabel[[#This Row],[VS_Anskaffelse]]+Tidstabel[[#This Row],[EI_Anskaffelse]]+Tidstabel[[#This Row],[AP_Anskaffelse]]+Tidstabel[[#This Row],[SK_Anskaffelse]]),BlankTegn)</f>
        <v>0</v>
      </c>
      <c r="AK39" s="245" t="str">
        <f>IFERROR(IF(Tidstabel[[#This Row],[År]]&gt;Input_Tidshorisont,BlankTegn,
IF(Tidstabel[[#This Row],[År]]=0,Tidstabel[[#This Row],[KF_Anskaffelse]],AK38+Tidstabel[[#This Row],[KF_Anskaffelse]])),BlankTegn)</f>
        <v>.</v>
      </c>
      <c r="AL39" s="246" t="str">
        <f ca="1">IFERROR(IF(Tidstabel[[#This Row],[År]]&gt;Input_Tidshorisont,BlankTegn,
Tidstabel[[#This Row],[FB_Vedligehold]]+Tidstabel[[#This Row],[VS_Vedligehold]]+Tidstabel[[#This Row],[EI_Vedligehold]]+Tidstabel[[#This Row],[AP_Vedligehold]]+Tidstabel[[#This Row],[SK_Vedligehold]]),BlankTegn)</f>
        <v>.</v>
      </c>
      <c r="AM39" s="245" t="str">
        <f ca="1">IFERROR(IF(Tidstabel[[#This Row],[År]]&gt;Input_Tidshorisont,BlankTegn,
IF(Tidstabel[[#This Row],[År]]=0,Tidstabel[[#This Row],[KF_Vedligehold]],AM38+Tidstabel[[#This Row],[KF_Vedligehold]])),BlankTegn)</f>
        <v>.</v>
      </c>
      <c r="AN39"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39"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39" s="245" t="str">
        <f>IFERROR(IF(Tidstabel[[#This Row],[År]]&gt;Input_Tidshorisont,BlankTegn,
IF(Tidstabel[[#This Row],[År]]=0,Tidstabel[[#This Row],[KF_Udskiftning_Komponent]],AP38+Tidstabel[[#This Row],[KF_Udskiftning_Komponent]])),BlankTegn)</f>
        <v>.</v>
      </c>
      <c r="AQ39" s="245">
        <f>IF(Tidstabel[[#This Row],[År]]&gt;Input_Tidshorisont,BlankTegn,
IF(Tidstabel[[#This Row],[År]]=0,-SUM(Engangsudgifter[Udgift]),0))</f>
        <v>0</v>
      </c>
      <c r="AR39" s="245">
        <f>IFERROR(IF(Tidstabel[[#This Row],[År]]&gt;Input_Tidshorisont,BlankTegn,
IF(Tidstabel[[#This Row],[År]]=0,Tidstabel[[#This Row],[KF_Engangsudgifter]],AR38+Tidstabel[[#This Row],[KF_Engangsudgifter]])),BlankTegn)</f>
        <v>0</v>
      </c>
      <c r="AS39" s="315" t="str">
        <f>IFERROR(IF(Tidstabel[[#This Row],[År]]&gt;Input_Tidshorisont,BlankTegn,
-Energibesparelse_Årlig),BlankTegn)</f>
        <v>.</v>
      </c>
      <c r="AT39" s="245" t="str">
        <f>IFERROR(IF(Tidstabel[[#This Row],[År]]&gt;Input_Tidshorisont,BlankTegn,
IF(Tidstabel[[#This Row],[År]]=0,0,-Tidstabel[[#This Row],[KF_Energiforbrug]]*Input_Fjernvarmepris*((1+Tidstabel[[#This Row],[Kalkulationsrente]])^-Tidstabel[[#This Row],[År]])*((1+PrisudviklingFjernvarme)^Tidstabel[[#This Row],[År]]))),BlankTegn)</f>
        <v>.</v>
      </c>
      <c r="AU39" s="262" t="str">
        <f>IFERROR(IF(Tidstabel[[#This Row],[År]]&gt;Input_Tidshorisont,BlankTegn,
IF(Tidstabel[[#This Row],[År]]=0,Tidstabel[[#This Row],[KF_Forsyning]],AU38+Tidstabel[[#This Row],[KF_Forsyning]])),BlankTegn)</f>
        <v>.</v>
      </c>
      <c r="AV39" s="245">
        <f>IFERROR(IF(Tidstabel[[#This Row],[År]]&gt;Input_Tidshorisont,BlankTegn,
IF(Tidstabel[[#This Row],[År]]=0,-FB_Enhedspris,0)),BlankTegn)</f>
        <v>0</v>
      </c>
      <c r="AW39" s="245" t="str">
        <f>IFERROR(IF(Tidstabel[[#This Row],[År]]&gt;Input_Tidshorisont,BlankTegn,
IF(Tidstabel[[#This Row],[År]]=0,FB_Enhedspris/FB_Levetid,AW38*((1+Tidstabel[[#This Row],[Kalkulationsrente]])^-1)*((1+PrisudviklingGenerelt)^1))),BlankTegn)</f>
        <v>.</v>
      </c>
      <c r="AX39" s="178" t="str">
        <f ca="1">IFERROR(IF(Tidstabel[[#This Row],[År]]&gt;Input_Tidshorisont,BlankTegn,
IF(FB_Vedligehold_i=1,IF(Tidstabel[[#This Row],[FB_Uds?]]=0,1,0),IF(MAX(AX38:OFFSET(AY38,2-FB_Vedligehold_i,0),Tidstabel[[#This Row],[FB_Uds?]])=0,1,0))),BlankTegn)</f>
        <v>.</v>
      </c>
      <c r="AY39" s="178" t="str">
        <f>IFERROR(IF(Tidstabel[[#This Row],[År]]&gt;Input_Tidshorisont,BlankTegn,
IF(Tidstabel[[#This Row],[År]]=0,1,IF(MOD(Tidstabel[[#This Row],[År]],FB_Levetid)=0,1,IF(Tidstabel[[#This Row],[År]]=Input_Tidshorisont,0,0)))),BlankTegn)</f>
        <v>.</v>
      </c>
      <c r="AZ39" s="245" t="str">
        <f ca="1">IFERROR(IF(Tidstabel[[#This Row],[År]]&gt;Input_Tidshorisont,BlankTegn,
FB_Vedligehold_p*-FB_Enhedspris*Tidstabel[[#This Row],[FB_Ved?]]*((1+Tidstabel[[#This Row],[Kalkulationsrente]])^-Tidstabel[[#This Row],[År]])*((1+PrisudviklingGenerelt)^Tidstabel[[#This Row],[År]])),BlankTegn)</f>
        <v>.</v>
      </c>
      <c r="BA39" s="245" t="str">
        <f>IFERROR(IF(Tidstabel[[#This Row],[År]]&gt;Input_Tidshorisont,BlankTegn,
IF(Tidstabel[[#This Row],[År]]=0,FB_Enhedspris,SUM(BA38:BB38)*((1+Tidstabel[[#This Row],[Kalkulationsrente]])^-1)*((1+PrisudviklingGenerelt)^1)-Tidstabel[[#This Row],[FB_Afskrivning]])),BlankTegn)</f>
        <v>.</v>
      </c>
      <c r="BB39" s="245" t="str">
        <f>IFERROR(IF(Tidstabel[[#This Row],[År]]&gt;Input_Tidshorisont,BlankTegn,
IF(Tidstabel[[#This Row],[År]]=0,0,Tidstabel[[#This Row],[FB_Uds?]]*FB_Enhedspris*((1+Tidstabel[[#This Row],[Kalkulationsrente]])^-Tidstabel[[#This Row],[År]])*((1+PrisudviklingGenerelt)^Tidstabel[[#This Row],[År]]))),BlankTegn)</f>
        <v>.</v>
      </c>
      <c r="BC39" s="262" t="str">
        <f>IFERROR(IF(Tidstabel[[#This Row],[År]]&gt;Input_Tidshorisont,BlankTegn,
IF(Tidstabel[[#This Row],[År]]=0,0,Tidstabel[[#This Row],[FB_Uds?]]*-FB_Enhedspris*FB_Genoprettelse*((1+Tidstabel[[#This Row],[Kalkulationsrente]])^-Tidstabel[[#This Row],[År]])*((1+PrisudviklingGenerelt)^Tidstabel[[#This Row],[År]]))),BlankTegn)</f>
        <v>.</v>
      </c>
      <c r="BD39" s="245">
        <f>IFERROR(IF(Tidstabel[[#This Row],[År]]&gt;Input_Tidshorisont,BlankTegn,
IF(Tidstabel[[#This Row],[År]]=0,-VS_Enhedspris,0)),BlankTegn)</f>
        <v>0</v>
      </c>
      <c r="BE39" s="245" t="str">
        <f>IFERROR(IF(Tidstabel[[#This Row],[År]]&gt;Input_Tidshorisont,BlankTegn,
IF(Tidstabel[[#This Row],[År]]=0,VS_Enhedspris/VS_Levetid,BE38*((1+Tidstabel[[#This Row],[Kalkulationsrente]])^-1)*((1+PrisudviklingGenerelt)^1))),BlankTegn)</f>
        <v>.</v>
      </c>
      <c r="BF39" s="178" t="str">
        <f ca="1">IFERROR(IF(Tidstabel[[#This Row],[År]]&gt;Input_Tidshorisont,BlankTegn,
IF(VS_Vedligehold_i=1,IF(Tidstabel[[#This Row],[VS_Uds?]]=0,1,0),IF(MAX(BF38:OFFSET(BG38,2-VS_Vedligehold_i,0),Tidstabel[[#This Row],[VS_Uds?]])=0,1,0))),BlankTegn)</f>
        <v>.</v>
      </c>
      <c r="BG39" s="178" t="str">
        <f>IFERROR(IF(Tidstabel[[#This Row],[År]]&gt;Input_Tidshorisont,BlankTegn,
IF(Tidstabel[[#This Row],[År]]=0,1,IF(MOD(Tidstabel[[#This Row],[År]],VS_Levetid)=0,1,IF(Tidstabel[[#This Row],[År]]=Input_Tidshorisont,0,0)))),BlankTegn)</f>
        <v>.</v>
      </c>
      <c r="BH39" s="245" t="str">
        <f ca="1">IFERROR(IF(Tidstabel[[#This Row],[År]]&gt;Input_Tidshorisont,BlankTegn,
VS_Vedligehold_p*-VS_Enhedspris*Tidstabel[[#This Row],[VS_Ved?]]*((1+Tidstabel[[#This Row],[Kalkulationsrente]])^-Tidstabel[[#This Row],[År]])*((1+PrisudviklingGenerelt)^Tidstabel[[#This Row],[År]])),BlankTegn)</f>
        <v>.</v>
      </c>
      <c r="BI39" s="245" t="str">
        <f>IFERROR(IF(Tidstabel[[#This Row],[År]]&gt;Input_Tidshorisont,BlankTegn,
IF(Tidstabel[[#This Row],[År]]=0,VS_Enhedspris,SUM(BI38:BJ38)*((1+Tidstabel[[#This Row],[Kalkulationsrente]])^-1)*((1+PrisudviklingGenerelt)^1)-Tidstabel[[#This Row],[VS_Afskrivning]])),BlankTegn)</f>
        <v>.</v>
      </c>
      <c r="BJ39" s="245" t="str">
        <f>IFERROR(IF(Tidstabel[[#This Row],[År]]&gt;Input_Tidshorisont,BlankTegn,
IF(Tidstabel[[#This Row],[År]]=0,0,Tidstabel[[#This Row],[VS_Uds?]]*VS_Enhedspris*((1+Tidstabel[[#This Row],[Kalkulationsrente]])^-Tidstabel[[#This Row],[År]])*((1+PrisudviklingGenerelt)^Tidstabel[[#This Row],[År]]))),BlankTegn)</f>
        <v>.</v>
      </c>
      <c r="BK39" s="262" t="str">
        <f>IFERROR(IF(Tidstabel[[#This Row],[År]]&gt;Input_Tidshorisont,BlankTegn,
IF(Tidstabel[[#This Row],[År]]=0,0,Tidstabel[[#This Row],[VS_Uds?]]*-VS_Enhedspris*VS_Genoprettelse*((1+Tidstabel[[#This Row],[Kalkulationsrente]])^-Tidstabel[[#This Row],[År]])*((1+PrisudviklingGenerelt)^Tidstabel[[#This Row],[År]]))),BlankTegn)</f>
        <v>.</v>
      </c>
      <c r="BL39" s="245">
        <f>IFERROR(IF(Tidstabel[[#This Row],[År]]&gt;Input_Tidshorisont,BlankTegn,
IF(Tidstabel[[#This Row],[År]]=0,-EI_Enhedspris,0)),BlankTegn)</f>
        <v>0</v>
      </c>
      <c r="BM39" s="245" t="str">
        <f>IFERROR(IF(Tidstabel[[#This Row],[År]]&gt;Input_Tidshorisont,BlankTegn,
IF(Tidstabel[[#This Row],[År]]=0,EI_Enhedspris/EI_Levetid,BM38*((1+Tidstabel[[#This Row],[Kalkulationsrente]])^-1)*((1+PrisudviklingGenerelt)^1))),BlankTegn)</f>
        <v>.</v>
      </c>
      <c r="BN39" s="178" t="str">
        <f ca="1">IFERROR(IF(Tidstabel[[#This Row],[År]]&gt;Input_Tidshorisont,BlankTegn,
IF(EI_Vedligehold_i=1,IF(Tidstabel[[#This Row],[EI_Uds?]]=0,1,0),IF(MAX(BN38:OFFSET(BO38,2-EI_Vedligehold_i,0),Tidstabel[[#This Row],[EI_Uds?]])=0,1,0))),BlankTegn)</f>
        <v>.</v>
      </c>
      <c r="BO39" s="178" t="str">
        <f>IFERROR(IF(Tidstabel[[#This Row],[År]]&gt;Input_Tidshorisont,BlankTegn,
IF(Tidstabel[[#This Row],[År]]=0,1,IF(MOD(Tidstabel[[#This Row],[År]],EI_Levetid)=0,1,IF(Tidstabel[[#This Row],[År]]=Input_Tidshorisont,0,0)))),BlankTegn)</f>
        <v>.</v>
      </c>
      <c r="BP39" s="245" t="str">
        <f ca="1">IFERROR(IF(Tidstabel[[#This Row],[År]]&gt;Input_Tidshorisont,BlankTegn,
EI_Vedligehold_p*-EI_Enhedspris*Tidstabel[[#This Row],[EI_Ved?]]*((1+Tidstabel[[#This Row],[Kalkulationsrente]])^-Tidstabel[[#This Row],[År]])*((1+PrisudviklingGenerelt)^Tidstabel[[#This Row],[År]])),BlankTegn)</f>
        <v>.</v>
      </c>
      <c r="BQ39" s="245" t="str">
        <f>IFERROR(IF(Tidstabel[[#This Row],[År]]&gt;Input_Tidshorisont,BlankTegn,
IF(Tidstabel[[#This Row],[År]]=0,EI_Enhedspris,SUM(BQ38:BR38)*((1+Tidstabel[[#This Row],[Kalkulationsrente]])^-1)*((1+PrisudviklingGenerelt)^1)-Tidstabel[[#This Row],[EI_Afskrivning]])),BlankTegn)</f>
        <v>.</v>
      </c>
      <c r="BR39" s="245" t="str">
        <f>IFERROR(IF(Tidstabel[[#This Row],[År]]&gt;Input_Tidshorisont,BlankTegn,
IF(Tidstabel[[#This Row],[År]]=0,0,Tidstabel[[#This Row],[EI_Uds?]]*EI_Enhedspris*((1+Tidstabel[[#This Row],[Kalkulationsrente]])^-Tidstabel[[#This Row],[År]])*((1+PrisudviklingGenerelt)^Tidstabel[[#This Row],[År]]))),BlankTegn)</f>
        <v>.</v>
      </c>
      <c r="BS39" s="262" t="str">
        <f>IFERROR(IF(Tidstabel[[#This Row],[År]]&gt;Input_Tidshorisont,BlankTegn,
IF(Tidstabel[[#This Row],[År]]=0,0,Tidstabel[[#This Row],[EI_Uds?]]*-EI_Enhedspris*EI_Genoprettelse*((1+Tidstabel[[#This Row],[Kalkulationsrente]])^-Tidstabel[[#This Row],[År]])*((1+PrisudviklingGenerelt)^Tidstabel[[#This Row],[År]]))),BlankTegn)</f>
        <v>.</v>
      </c>
      <c r="BT39" s="245">
        <f>IFERROR(IF(Tidstabel[[#This Row],[År]]&gt;Input_Tidshorisont,BlankTegn,
IF(Tidstabel[[#This Row],[År]]=0,-AP_Enhedspris,0)),BlankTegn)</f>
        <v>0</v>
      </c>
      <c r="BU39" s="245" t="str">
        <f>IFERROR(IF(Tidstabel[[#This Row],[År]]&gt;Input_Tidshorisont,BlankTegn,
IF(Tidstabel[[#This Row],[År]]=0,AP_Enhedspris/AP_Levetid,BU38*((1+Tidstabel[[#This Row],[Kalkulationsrente]])^-1)*((1+PrisudviklingGenerelt)^1))),BlankTegn)</f>
        <v>.</v>
      </c>
      <c r="BV39" s="178" t="str">
        <f ca="1">IFERROR(IF(Tidstabel[[#This Row],[År]]&gt;Input_Tidshorisont,BlankTegn,
IF(AP_Vedligehold_i=1,IF(Tidstabel[[#This Row],[AP_Uds?]]=0,1,0),IF(MAX(BV38:OFFSET(BW38,2-AP_Vedligehold_i,0),Tidstabel[[#This Row],[AP_Uds?]])=0,1,0))),BlankTegn)</f>
        <v>.</v>
      </c>
      <c r="BW39" s="178" t="str">
        <f>IFERROR(IF(Tidstabel[[#This Row],[År]]&gt;Input_Tidshorisont,BlankTegn,
IF(Tidstabel[[#This Row],[År]]=0,1,IF(MOD(Tidstabel[[#This Row],[År]],AP_Levetid)=0,1,IF(Tidstabel[[#This Row],[År]]=Input_Tidshorisont,0,0)))),BlankTegn)</f>
        <v>.</v>
      </c>
      <c r="BX39" s="245" t="str">
        <f ca="1">IFERROR(IF(Tidstabel[[#This Row],[År]]&gt;Input_Tidshorisont,BlankTegn,
AP_Vedligehold_p*-AP_Enhedspris*Tidstabel[[#This Row],[AP_Ved?]]*((1+Tidstabel[[#This Row],[Kalkulationsrente]])^-Tidstabel[[#This Row],[År]])*((1+PrisudviklingGenerelt)^Tidstabel[[#This Row],[År]])),BlankTegn)</f>
        <v>.</v>
      </c>
      <c r="BY39" s="245" t="str">
        <f>IFERROR(IF(Tidstabel[[#This Row],[År]]&gt;Input_Tidshorisont,BlankTegn,
IF(Tidstabel[[#This Row],[År]]=0,AP_Enhedspris,SUM(BY38:BZ38)*((1+Tidstabel[[#This Row],[Kalkulationsrente]])^-1)*((1+PrisudviklingGenerelt)^1)-Tidstabel[[#This Row],[AP_Afskrivning]])),BlankTegn)</f>
        <v>.</v>
      </c>
      <c r="BZ39" s="245" t="str">
        <f>IFERROR(IF(Tidstabel[[#This Row],[År]]&gt;Input_Tidshorisont,BlankTegn,
IF(Tidstabel[[#This Row],[År]]=0,0,Tidstabel[[#This Row],[AP_Uds?]]*AP_Enhedspris*((1+Tidstabel[[#This Row],[Kalkulationsrente]])^-Tidstabel[[#This Row],[År]])*((1+PrisudviklingGenerelt)^Tidstabel[[#This Row],[År]]))),BlankTegn)</f>
        <v>.</v>
      </c>
      <c r="CA39" s="262" t="str">
        <f>IFERROR(IF(Tidstabel[[#This Row],[År]]&gt;Input_Tidshorisont,BlankTegn,
IF(Tidstabel[[#This Row],[År]]=0,0,Tidstabel[[#This Row],[AP_Uds?]]*-AP_Enhedspris*AP_Genoprettelse*((1+Tidstabel[[#This Row],[Kalkulationsrente]])^-Tidstabel[[#This Row],[År]])*((1+PrisudviklingGenerelt)^Tidstabel[[#This Row],[År]]))),BlankTegn)</f>
        <v>.</v>
      </c>
      <c r="CB39" s="245">
        <f>IFERROR(IF(Tidstabel[[#This Row],[År]]&gt;Input_Tidshorisont,BlankTegn,
IF(Tidstabel[[#This Row],[År]]=0,-SK_Enhedspris,0)),BlankTegn)</f>
        <v>0</v>
      </c>
      <c r="CC39" s="245" t="str">
        <f>IFERROR(IF(Tidstabel[[#This Row],[År]]&gt;Input_Tidshorisont,BlankTegn,
IF(Tidstabel[[#This Row],[År]]=0,SK_Enhedspris/SK_Levetid,CC38*((1+Tidstabel[[#This Row],[Kalkulationsrente]])^-1)*((1+PrisudviklingGenerelt)^1))),BlankTegn)</f>
        <v>.</v>
      </c>
      <c r="CD39" s="178" t="str">
        <f ca="1">IFERROR(IF(Tidstabel[[#This Row],[År]]&gt;Input_Tidshorisont,BlankTegn,
IF(SK_Vedligehold_i=1,IF(Tidstabel[[#This Row],[SK_Uds?]]=0,1,0),IF(MAX(CD38:OFFSET(CE38,2-SK_Vedligehold_i,0),Tidstabel[[#This Row],[SK_Uds?]])=0,1,0))),BlankTegn)</f>
        <v>.</v>
      </c>
      <c r="CE39" s="178" t="str">
        <f>IFERROR(IF(Tidstabel[[#This Row],[År]]&gt;Input_Tidshorisont,BlankTegn,
IF(Tidstabel[[#This Row],[År]]=0,1,IF(MOD(Tidstabel[[#This Row],[År]],SK_Levetid)=0,1,IF(Tidstabel[[#This Row],[År]]=Input_Tidshorisont,0,0)))),BlankTegn)</f>
        <v>.</v>
      </c>
      <c r="CF39" s="245" t="str">
        <f ca="1">IFERROR(IF(Tidstabel[[#This Row],[År]]&gt;Input_Tidshorisont,BlankTegn,
SK_Vedligehold_p*-SK_Enhedspris*Tidstabel[[#This Row],[SK_Ved?]]*((1+Tidstabel[[#This Row],[Kalkulationsrente]])^-Tidstabel[[#This Row],[År]])*((1+PrisudviklingGenerelt)^Tidstabel[[#This Row],[År]])),BlankTegn)</f>
        <v>.</v>
      </c>
      <c r="CG39" s="245" t="str">
        <f>IFERROR(IF(Tidstabel[[#This Row],[År]]&gt;Input_Tidshorisont,BlankTegn,
IF(Tidstabel[[#This Row],[År]]=0,SK_Enhedspris,SUM(CG38:CH38)*((1+Tidstabel[[#This Row],[Kalkulationsrente]])^-1)*((1+PrisudviklingGenerelt)^1)-Tidstabel[[#This Row],[SK_Afskrivning]])),BlankTegn)</f>
        <v>.</v>
      </c>
      <c r="CH39" s="245" t="str">
        <f>IFERROR(IF(Tidstabel[[#This Row],[År]]&gt;Input_Tidshorisont,BlankTegn,
IF(Tidstabel[[#This Row],[År]]=0,0,Tidstabel[[#This Row],[SK_Uds?]]*SK_Enhedspris*((1+Tidstabel[[#This Row],[Kalkulationsrente]])^-Tidstabel[[#This Row],[År]])*((1+PrisudviklingGenerelt)^Tidstabel[[#This Row],[År]]))),BlankTegn)</f>
        <v>.</v>
      </c>
      <c r="CI39" s="262" t="str">
        <f>IFERROR(IF(Tidstabel[[#This Row],[År]]&gt;Input_Tidshorisont,BlankTegn,
IF(Tidstabel[[#This Row],[År]]=0,0,Tidstabel[[#This Row],[SK_Uds?]]*-SK_Enhedspris*SK_Genoprettelse*((1+Tidstabel[[#This Row],[Kalkulationsrente]])^-Tidstabel[[#This Row],[År]])*((1+PrisudviklingGenerelt)^Tidstabel[[#This Row],[År]]))),BlankTegn)</f>
        <v>.</v>
      </c>
      <c r="CJ39" s="19"/>
    </row>
    <row r="40" spans="1:88">
      <c r="A40" s="250">
        <v>33</v>
      </c>
      <c r="B40" s="250">
        <f>Input_Etableringsår+Tidstabel[[#This Row],[År]]</f>
        <v>2057</v>
      </c>
      <c r="C40" s="274" cm="1">
        <f t="array" ref="C40">_xlfn.IFS(Tidstabel[[#This Row],[År]]&gt;KR_Trin3_Tærskel,KR_Trin3_Rente,Tidstabel[[#This Row],[År]]&gt;KR_Trin2_Tærskel,KR_Trin2_Rente,Tidstabel[[#This Row],[År]]&gt;KR_Trin1_Tærskel,KR_Trin1_Rente,Tidstabel[[#This Row],[År]]&gt;KR_Trin0_Tærskel,KR_Trin0_Rente)</f>
        <v>3.5000000000000003E-2</v>
      </c>
      <c r="D40" s="142" t="str" cm="1">
        <f t="array" ref="D40">IFERROR(
INDEX(Range_Materiale_ÅrligeEmissioner,MATCH(1,(Materialedata[Komponent]=FB_Titel)*(Materialedata[Materiale]=FB_Materiale),0),MATCH(Tidstabel[[#This Row],[År]],Range_Materiale_År,0)),BlankTegn)</f>
        <v>.</v>
      </c>
      <c r="E40" s="142" t="str" cm="1">
        <f t="array" ref="E40">IFERROR(
INDEX(Range_Materiale_ÅrligeEmissioner,MATCH(1,(Materialedata[Komponent]=SK_Titel)*(Materialedata[Materiale]=SK_Materiale),0),MATCH(Tidstabel[[#This Row],[År]],Range_Materiale_År,0)),BlankTegn)</f>
        <v>.</v>
      </c>
      <c r="F40" s="142" t="str" cm="1">
        <f t="array" ref="F40">IFERROR(
INDEX(Range_Materiale_ÅrligeEmissioner,MATCH(1,(Materialedata[Komponent]=EI_Titel)*(Materialedata[Materiale]=EI_Materiale),0),MATCH(Tidstabel[[#This Row],[År]],Range_Materiale_År,0)),BlankTegn)</f>
        <v>.</v>
      </c>
      <c r="G40" s="142" t="str" cm="1">
        <f t="array" ref="G40">IFERROR(
INDEX(Range_Materiale_ÅrligeEmissioner,MATCH(1,(Materialedata[Komponent]=AP_Titel)*(Materialedata[Materiale]=AP_Materiale),0),MATCH(Tidstabel[[#This Row],[År]],Range_Materiale_År,0)),BlankTegn)</f>
        <v>.</v>
      </c>
      <c r="H40" s="142" t="str" cm="1">
        <f t="array" ref="H40">IFERROR(
INDEX(Range_Materiale_ÅrligeEmissioner,MATCH(1,(Materialedata[Komponent]=VS_Titel)*(Materialedata[Materiale]=VS_Materiale),0),MATCH(Tidstabel[[#This Row],[År]],Range_Materiale_År,0)),BlankTegn)</f>
        <v>.</v>
      </c>
      <c r="I40" s="142" t="str">
        <f>IFERROR(
IF(SUM(Tidstabel[[#This Row],[Facadebeklædning]:[Vindspærre]])=0,BlankTegn,
SUM(Tidstabel[[#This Row],[Facadebeklædning]:[Vindspærre]])),BlankTegn)</f>
        <v>.</v>
      </c>
      <c r="J40" s="139">
        <f>IF(Tidstabel[[#This Row],[År]]&gt;Input_Tidshorisont,BlankTegn,
A5_ElVarmeBrændstofByggeplads)</f>
        <v>0.25</v>
      </c>
      <c r="K40" s="142" t="str">
        <f>IFERROR(IF(Tidstabel[[#This Row],[År]]&gt;Input_Tidshorisont,BlankTegn,
-1*INDEX(Range_Energi_ÅrligBesparelse,MATCH(Input_EksisterendeFacade,Energiberegning[Ydervæg],0),MATCH(Tidstabel[[#This Row],[Årstal]],Range_Energi_Årstal,0))),BlankTegn)</f>
        <v>.</v>
      </c>
      <c r="L40" s="142">
        <f>IF(Tidstabel[[#This Row],[År]]&gt;Input_Tidshorisont,BlankTegn,
(Tidstabel[[#This Row],[År]]+1)*(SUM(Vedligeholdelsesmaterialer[Facadefarve],Vedligeholdelsesmaterialer[Grunder og mellemmaling])/12+SUM(Vedligeholdelsesmaterialer[Puds])/30))</f>
        <v>11.045045718333332</v>
      </c>
      <c r="M40" s="142" t="str">
        <f>IFERROR(IF(Tidstabel[[#This Row],[År]]&gt;Input_Tidshorisont,BlankTegn,
Tidstabel[[#This Row],[Materialer_Total]]+Tidstabel[[#This Row],[Byggeprocess]]),BlankTegn)</f>
        <v>.</v>
      </c>
      <c r="N40" s="142" t="str">
        <f>IFERROR(IF(Tidstabel[[#This Row],[År]]&gt;Input_Tidshorisont,BlankTegn,
Tidstabel[[#This Row],[Energibesparelse]]+Tidstabel[[#This Row],[Emission_Brutto]]),BlankTegn)</f>
        <v>.</v>
      </c>
      <c r="O40" s="142" t="str">
        <f>IFERROR(IF(Tidstabel[[#This Row],[År]]&gt;Input_Tidshorisont,BlankTegn,
Tidstabel[[#This Row],[Emission_Netto]]-Tidstabel[[#This Row],[Vedligehold_EksisterendeFacade]]),BlankTegn)</f>
        <v>.</v>
      </c>
      <c r="P40" s="271" t="str">
        <f>IFERROR(IF(Tidstabel[[#This Row],[År]]&gt;Input_Tidshorisont,BlankTegn,
IF(AND(Tidstabel[[#This Row],[Emission_Netto]]-Tidstabel[[#This Row],[Vedligehold_EksisterendeFacade]]&gt;0,N41-L41&lt;0),-1,IF(AND(Tidstabel[[#This Row],[Emission_Netto]]-Tidstabel[[#This Row],[Vedligehold_EksisterendeFacade]]&lt;0,N41-L41&gt;0),1,0))),BlankTegn)</f>
        <v>.</v>
      </c>
      <c r="Q40" s="174" t="str">
        <f>IF(Tidstabel[[#This Row],[År]]&gt;Input_Tidshorisont,BlankTegn,
IF(Tidstabel[[#This Row],[LCA-Skæring]]=-1,SUM(Tidstabel[[#This Row],[År]]*(1-ABS(Tidstabel[[#This Row],[LCA-Difference]])/(ABS(Tidstabel[[#This Row],[LCA-Difference]])+ABS(O41))),A41*(1-ABS(O41)/(ABS(Tidstabel[[#This Row],[LCA-Difference]])+ABS(O41)))),"-"))</f>
        <v>-</v>
      </c>
      <c r="R40" s="174" t="str">
        <f>IF(Tidstabel[[#This Row],[År]]&gt;Input_Tidshorisont,BlankTegn,
IF(Tidstabel[[#This Row],[LCA-Skæring]]=-1,SUM(Tidstabel[[#This Row],[Emission_Netto]]*(1-ABS(Tidstabel[[#This Row],[LCA-Difference]])/(ABS(Tidstabel[[#This Row],[LCA-Difference]])+ABS(O41))),N41*(1-ABS(O41)/(ABS(Tidstabel[[#This Row],[LCA-Difference]])+ABS(O41)))),"-"))</f>
        <v>-</v>
      </c>
      <c r="S40" s="174" t="str">
        <f>IF(Tidstabel[[#This Row],[År]]&gt;Input_Tidshorisont,BlankTegn,
IF(Tidstabel[[#This Row],[LCA-Skæring]]=1,SUM(Tidstabel[[#This Row],[År]]*(1-ABS(Tidstabel[[#This Row],[LCA-Difference]])/(ABS(Tidstabel[[#This Row],[LCA-Difference]])+ABS(O41))),A41*(1-ABS(O41)/(ABS(Tidstabel[[#This Row],[LCA-Difference]])+ABS(O41)))),"-"))</f>
        <v>-</v>
      </c>
      <c r="T40" s="264" t="str">
        <f>IF(Tidstabel[[#This Row],[År]]&gt;Input_Tidshorisont,BlankTegn,
IF(Tidstabel[[#This Row],[LCA-Skæring]]=1,SUM(Tidstabel[[#This Row],[Emission_Netto]]*(1-ABS(Tidstabel[[#This Row],[LCA-Difference]])/(ABS(Tidstabel[[#This Row],[LCA-Difference]])+ABS(O41))),N41*(1-ABS(O41)/(ABS(Tidstabel[[#This Row],[LCA-Difference]])+ABS(O41)))),"-"))</f>
        <v>-</v>
      </c>
      <c r="U40" s="142" t="str">
        <f ca="1">IFERROR(IF(Tidstabel[[#This Row],[År]]&gt;Input_Tidshorisont,BlankTegn,
Tidstabel[[#This Row],[NPV_Klimafacade]]-Tidstabel[[#This Row],[NPV_Eksisterende]]),BlankTegn)</f>
        <v>.</v>
      </c>
      <c r="V40" s="271" t="str">
        <f ca="1">IFERROR(IF(Tidstabel[[#This Row],[År]]&gt;Input_Tidshorisont,BlankTegn,
IF(AND(Tidstabel[[#This Row],[NPV_Klimafacade]]-Tidstabel[[#This Row],[NPV_Eksisterende]]&gt;0,AB41-AA41&lt;0),1,IF(AND(Tidstabel[[#This Row],[NPV_Klimafacade]]-Tidstabel[[#This Row],[NPV_Eksisterende]]&lt;0,AB41-AA41&gt;0),-1,0))),BlankTegn)</f>
        <v>.</v>
      </c>
      <c r="W40" s="174" t="str">
        <f ca="1">IF(Tidstabel[[#This Row],[År]]&gt;Input_Tidshorisont,BlankTegn,
IF(Tidstabel[[#This Row],[LCC-Skæring]]=-1,SUM(Tidstabel[[#This Row],[År]]*(1-ABS(Tidstabel[[#This Row],[LCC-Difference]])/(ABS(Tidstabel[[#This Row],[LCC-Difference]])+ABS(U41))),A41*(1-ABS(U41)/(ABS(Tidstabel[[#This Row],[LCC-Difference]])+ABS(U41)))),"-"))</f>
        <v>-</v>
      </c>
      <c r="X40" s="174" t="str">
        <f ca="1">IF(Tidstabel[[#This Row],[År]]&gt;Input_Tidshorisont,BlankTegn,
IF(Tidstabel[[#This Row],[LCC-Skæring]]=-1,SUM(Tidstabel[[#This Row],[NPV_Klimafacade]]*(1-ABS(Tidstabel[[#This Row],[LCC-Difference]])/(ABS(Tidstabel[[#This Row],[LCC-Difference]])+ABS(U41))),AB41*(1-ABS(U41)/(ABS(Tidstabel[[#This Row],[LCC-Difference]])+ABS(U41)))),"-"))</f>
        <v>-</v>
      </c>
      <c r="Y40" s="174" t="str">
        <f ca="1">IF(Tidstabel[[#This Row],[År]]&gt;Input_Tidshorisont,BlankTegn,
IF(Tidstabel[[#This Row],[LCC-Skæring]]=1,SUM(Tidstabel[[#This Row],[År]]*(1-ABS(Tidstabel[[#This Row],[LCC-Difference]])/(ABS(Tidstabel[[#This Row],[LCC-Difference]])+ABS(U41))),A41*(1-ABS(U41)/(ABS(Tidstabel[[#This Row],[LCC-Difference]])+ABS(U41)))),"-"))</f>
        <v>-</v>
      </c>
      <c r="Z40" s="264" t="str">
        <f ca="1">IF(Tidstabel[[#This Row],[År]]&gt;Input_Tidshorisont,BlankTegn,
IF(Tidstabel[[#This Row],[LCC-Skæring]]=1,SUM(Tidstabel[[#This Row],[NPV_Klimafacade]]*(1-ABS(Tidstabel[[#This Row],[LCC-Difference]])/(ABS(Tidstabel[[#This Row],[LCC-Difference]])+ABS(U41))),AB41*(1-ABS(U41)/(ABS(Tidstabel[[#This Row],[LCC-Difference]])+ABS(U41)))),"-"))</f>
        <v>-</v>
      </c>
      <c r="AA40" s="142">
        <f ca="1">IF(Tidstabel[[#This Row],[År]]&gt;Input_Tidshorisont,BlankTegn,
Tidstabel[[#This Row],[EF_Vedligehold_Aggregeret]])</f>
        <v>-217.1207170748539</v>
      </c>
      <c r="AB40"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40" s="142" t="str">
        <f>IFERROR(IF(Tidstabel[[#This Row],[År]]&gt;Input_Tidshorisont,BlankTegn,
Tidstabel[[#This Row],[KF_Anskaffelse_Aggregeret]]+Tidstabel[[#This Row],[KF_Engangsudgifter_Aggregeret]]),BlankTegn)</f>
        <v>.</v>
      </c>
      <c r="AD40" s="174">
        <f ca="1">IFERROR(IF(Tidstabel[[#This Row],[År]]&gt;Input_Tidshorisont,BlankTegn,
IF(Tidstabel[[#This Row],[År]]=0,0,Tidstabel[[#This Row],[NPV_Eksisterende]]*(Tidstabel[[#This Row],[Kalkulationsrente]]/(1-(1+Tidstabel[[#This Row],[Kalkulationsrente]])^-Tidstabel[[#This Row],[År]])))),BlankTegn)</f>
        <v>-11.197441256784739</v>
      </c>
      <c r="AE40" s="264" t="str">
        <f ca="1">IFERROR(IF(Tidstabel[[#This Row],[År]]&gt;Input_Tidshorisont,BlankTegn,
IF(Tidstabel[[#This Row],[År]]=0,0,Tidstabel[[#This Row],[NPV_Klimafacade]]*(Tidstabel[[#This Row],[Kalkulationsrente]]/(1-(1+Tidstabel[[#This Row],[Kalkulationsrente]])^-Tidstabel[[#This Row],[År]])))),BlankTegn)</f>
        <v>.</v>
      </c>
      <c r="AF40" s="270">
        <f ca="1">IF(Tidstabel[[#This Row],[År]]&gt;Input_Tidshorisont,BlankTegn,
IF(EF_Vedligehold_i=1,IF(Tidstabel[[#This Row],[EF_Uds?]]=0,1,0),IF(MAX(AF39:OFFSET(AG39,2-EF_Vedligehold_i,0),Tidstabel[[#This Row],[EF_Uds?]])=0,1,0)))</f>
        <v>1</v>
      </c>
      <c r="AG40" s="181">
        <f>IF(Tidstabel[[#This Row],[År]]&gt;Input_Tidshorisont,BlankTegn,0)</f>
        <v>0</v>
      </c>
      <c r="AH40" s="263">
        <f ca="1">IF(Tidstabel[[#This Row],[År]]&gt;Input_Tidshorisont,BlankTegn,
Tidstabel[[#This Row],[EF_Ved?]]*EF_Vedligehold_p*-EF_Enhedspris*((1+Tidstabel[[#This Row],[Kalkulationsrente]])^-Tidstabel[[#This Row],[År]])*((1+PrisudviklingGenerelt)^Tidstabel[[#This Row],[År]]))</f>
        <v>-3.4217483111151115</v>
      </c>
      <c r="AI40" s="262">
        <f ca="1">IF(Tidstabel[[#This Row],[År]]&gt;Input_Tidshorisont,BlankTegn,
IF(Tidstabel[[#This Row],[År]]=0,Tidstabel[[#This Row],[EF_Vedligehold]],AI39+Tidstabel[[#This Row],[EF_Vedligehold]]))</f>
        <v>-217.1207170748539</v>
      </c>
      <c r="AJ40" s="245">
        <f>IFERROR(IF(Tidstabel[[#This Row],[År]]&gt;Input_Tidshorisont,BlankTegn,
Tidstabel[[#This Row],[FB_Anskaffelse]]+Tidstabel[[#This Row],[VS_Anskaffelse]]+Tidstabel[[#This Row],[EI_Anskaffelse]]+Tidstabel[[#This Row],[AP_Anskaffelse]]+Tidstabel[[#This Row],[SK_Anskaffelse]]),BlankTegn)</f>
        <v>0</v>
      </c>
      <c r="AK40" s="245" t="str">
        <f>IFERROR(IF(Tidstabel[[#This Row],[År]]&gt;Input_Tidshorisont,BlankTegn,
IF(Tidstabel[[#This Row],[År]]=0,Tidstabel[[#This Row],[KF_Anskaffelse]],AK39+Tidstabel[[#This Row],[KF_Anskaffelse]])),BlankTegn)</f>
        <v>.</v>
      </c>
      <c r="AL40" s="246" t="str">
        <f ca="1">IFERROR(IF(Tidstabel[[#This Row],[År]]&gt;Input_Tidshorisont,BlankTegn,
Tidstabel[[#This Row],[FB_Vedligehold]]+Tidstabel[[#This Row],[VS_Vedligehold]]+Tidstabel[[#This Row],[EI_Vedligehold]]+Tidstabel[[#This Row],[AP_Vedligehold]]+Tidstabel[[#This Row],[SK_Vedligehold]]),BlankTegn)</f>
        <v>.</v>
      </c>
      <c r="AM40" s="245" t="str">
        <f ca="1">IFERROR(IF(Tidstabel[[#This Row],[År]]&gt;Input_Tidshorisont,BlankTegn,
IF(Tidstabel[[#This Row],[År]]=0,Tidstabel[[#This Row],[KF_Vedligehold]],AM39+Tidstabel[[#This Row],[KF_Vedligehold]])),BlankTegn)</f>
        <v>.</v>
      </c>
      <c r="AN40"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40"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40" s="245" t="str">
        <f>IFERROR(IF(Tidstabel[[#This Row],[År]]&gt;Input_Tidshorisont,BlankTegn,
IF(Tidstabel[[#This Row],[År]]=0,Tidstabel[[#This Row],[KF_Udskiftning_Komponent]],AP39+Tidstabel[[#This Row],[KF_Udskiftning_Komponent]])),BlankTegn)</f>
        <v>.</v>
      </c>
      <c r="AQ40" s="245">
        <f>IF(Tidstabel[[#This Row],[År]]&gt;Input_Tidshorisont,BlankTegn,
IF(Tidstabel[[#This Row],[År]]=0,-SUM(Engangsudgifter[Udgift]),0))</f>
        <v>0</v>
      </c>
      <c r="AR40" s="245">
        <f>IFERROR(IF(Tidstabel[[#This Row],[År]]&gt;Input_Tidshorisont,BlankTegn,
IF(Tidstabel[[#This Row],[År]]=0,Tidstabel[[#This Row],[KF_Engangsudgifter]],AR39+Tidstabel[[#This Row],[KF_Engangsudgifter]])),BlankTegn)</f>
        <v>0</v>
      </c>
      <c r="AS40" s="315" t="str">
        <f>IFERROR(IF(Tidstabel[[#This Row],[År]]&gt;Input_Tidshorisont,BlankTegn,
-Energibesparelse_Årlig),BlankTegn)</f>
        <v>.</v>
      </c>
      <c r="AT40" s="245" t="str">
        <f>IFERROR(IF(Tidstabel[[#This Row],[År]]&gt;Input_Tidshorisont,BlankTegn,
IF(Tidstabel[[#This Row],[År]]=0,0,-Tidstabel[[#This Row],[KF_Energiforbrug]]*Input_Fjernvarmepris*((1+Tidstabel[[#This Row],[Kalkulationsrente]])^-Tidstabel[[#This Row],[År]])*((1+PrisudviklingFjernvarme)^Tidstabel[[#This Row],[År]]))),BlankTegn)</f>
        <v>.</v>
      </c>
      <c r="AU40" s="262" t="str">
        <f>IFERROR(IF(Tidstabel[[#This Row],[År]]&gt;Input_Tidshorisont,BlankTegn,
IF(Tidstabel[[#This Row],[År]]=0,Tidstabel[[#This Row],[KF_Forsyning]],AU39+Tidstabel[[#This Row],[KF_Forsyning]])),BlankTegn)</f>
        <v>.</v>
      </c>
      <c r="AV40" s="245">
        <f>IFERROR(IF(Tidstabel[[#This Row],[År]]&gt;Input_Tidshorisont,BlankTegn,
IF(Tidstabel[[#This Row],[År]]=0,-FB_Enhedspris,0)),BlankTegn)</f>
        <v>0</v>
      </c>
      <c r="AW40" s="245" t="str">
        <f>IFERROR(IF(Tidstabel[[#This Row],[År]]&gt;Input_Tidshorisont,BlankTegn,
IF(Tidstabel[[#This Row],[År]]=0,FB_Enhedspris/FB_Levetid,AW39*((1+Tidstabel[[#This Row],[Kalkulationsrente]])^-1)*((1+PrisudviklingGenerelt)^1))),BlankTegn)</f>
        <v>.</v>
      </c>
      <c r="AX40" s="178" t="str">
        <f ca="1">IFERROR(IF(Tidstabel[[#This Row],[År]]&gt;Input_Tidshorisont,BlankTegn,
IF(FB_Vedligehold_i=1,IF(Tidstabel[[#This Row],[FB_Uds?]]=0,1,0),IF(MAX(AX39:OFFSET(AY39,2-FB_Vedligehold_i,0),Tidstabel[[#This Row],[FB_Uds?]])=0,1,0))),BlankTegn)</f>
        <v>.</v>
      </c>
      <c r="AY40" s="178" t="str">
        <f>IFERROR(IF(Tidstabel[[#This Row],[År]]&gt;Input_Tidshorisont,BlankTegn,
IF(Tidstabel[[#This Row],[År]]=0,1,IF(MOD(Tidstabel[[#This Row],[År]],FB_Levetid)=0,1,IF(Tidstabel[[#This Row],[År]]=Input_Tidshorisont,0,0)))),BlankTegn)</f>
        <v>.</v>
      </c>
      <c r="AZ40" s="245" t="str">
        <f ca="1">IFERROR(IF(Tidstabel[[#This Row],[År]]&gt;Input_Tidshorisont,BlankTegn,
FB_Vedligehold_p*-FB_Enhedspris*Tidstabel[[#This Row],[FB_Ved?]]*((1+Tidstabel[[#This Row],[Kalkulationsrente]])^-Tidstabel[[#This Row],[År]])*((1+PrisudviklingGenerelt)^Tidstabel[[#This Row],[År]])),BlankTegn)</f>
        <v>.</v>
      </c>
      <c r="BA40" s="245" t="str">
        <f>IFERROR(IF(Tidstabel[[#This Row],[År]]&gt;Input_Tidshorisont,BlankTegn,
IF(Tidstabel[[#This Row],[År]]=0,FB_Enhedspris,SUM(BA39:BB39)*((1+Tidstabel[[#This Row],[Kalkulationsrente]])^-1)*((1+PrisudviklingGenerelt)^1)-Tidstabel[[#This Row],[FB_Afskrivning]])),BlankTegn)</f>
        <v>.</v>
      </c>
      <c r="BB40" s="245" t="str">
        <f>IFERROR(IF(Tidstabel[[#This Row],[År]]&gt;Input_Tidshorisont,BlankTegn,
IF(Tidstabel[[#This Row],[År]]=0,0,Tidstabel[[#This Row],[FB_Uds?]]*FB_Enhedspris*((1+Tidstabel[[#This Row],[Kalkulationsrente]])^-Tidstabel[[#This Row],[År]])*((1+PrisudviklingGenerelt)^Tidstabel[[#This Row],[År]]))),BlankTegn)</f>
        <v>.</v>
      </c>
      <c r="BC40" s="262" t="str">
        <f>IFERROR(IF(Tidstabel[[#This Row],[År]]&gt;Input_Tidshorisont,BlankTegn,
IF(Tidstabel[[#This Row],[År]]=0,0,Tidstabel[[#This Row],[FB_Uds?]]*-FB_Enhedspris*FB_Genoprettelse*((1+Tidstabel[[#This Row],[Kalkulationsrente]])^-Tidstabel[[#This Row],[År]])*((1+PrisudviklingGenerelt)^Tidstabel[[#This Row],[År]]))),BlankTegn)</f>
        <v>.</v>
      </c>
      <c r="BD40" s="245">
        <f>IFERROR(IF(Tidstabel[[#This Row],[År]]&gt;Input_Tidshorisont,BlankTegn,
IF(Tidstabel[[#This Row],[År]]=0,-VS_Enhedspris,0)),BlankTegn)</f>
        <v>0</v>
      </c>
      <c r="BE40" s="245" t="str">
        <f>IFERROR(IF(Tidstabel[[#This Row],[År]]&gt;Input_Tidshorisont,BlankTegn,
IF(Tidstabel[[#This Row],[År]]=0,VS_Enhedspris/VS_Levetid,BE39*((1+Tidstabel[[#This Row],[Kalkulationsrente]])^-1)*((1+PrisudviklingGenerelt)^1))),BlankTegn)</f>
        <v>.</v>
      </c>
      <c r="BF40" s="178" t="str">
        <f ca="1">IFERROR(IF(Tidstabel[[#This Row],[År]]&gt;Input_Tidshorisont,BlankTegn,
IF(VS_Vedligehold_i=1,IF(Tidstabel[[#This Row],[VS_Uds?]]=0,1,0),IF(MAX(BF39:OFFSET(BG39,2-VS_Vedligehold_i,0),Tidstabel[[#This Row],[VS_Uds?]])=0,1,0))),BlankTegn)</f>
        <v>.</v>
      </c>
      <c r="BG40" s="178" t="str">
        <f>IFERROR(IF(Tidstabel[[#This Row],[År]]&gt;Input_Tidshorisont,BlankTegn,
IF(Tidstabel[[#This Row],[År]]=0,1,IF(MOD(Tidstabel[[#This Row],[År]],VS_Levetid)=0,1,IF(Tidstabel[[#This Row],[År]]=Input_Tidshorisont,0,0)))),BlankTegn)</f>
        <v>.</v>
      </c>
      <c r="BH40" s="245" t="str">
        <f ca="1">IFERROR(IF(Tidstabel[[#This Row],[År]]&gt;Input_Tidshorisont,BlankTegn,
VS_Vedligehold_p*-VS_Enhedspris*Tidstabel[[#This Row],[VS_Ved?]]*((1+Tidstabel[[#This Row],[Kalkulationsrente]])^-Tidstabel[[#This Row],[År]])*((1+PrisudviklingGenerelt)^Tidstabel[[#This Row],[År]])),BlankTegn)</f>
        <v>.</v>
      </c>
      <c r="BI40" s="245" t="str">
        <f>IFERROR(IF(Tidstabel[[#This Row],[År]]&gt;Input_Tidshorisont,BlankTegn,
IF(Tidstabel[[#This Row],[År]]=0,VS_Enhedspris,SUM(BI39:BJ39)*((1+Tidstabel[[#This Row],[Kalkulationsrente]])^-1)*((1+PrisudviklingGenerelt)^1)-Tidstabel[[#This Row],[VS_Afskrivning]])),BlankTegn)</f>
        <v>.</v>
      </c>
      <c r="BJ40" s="245" t="str">
        <f>IFERROR(IF(Tidstabel[[#This Row],[År]]&gt;Input_Tidshorisont,BlankTegn,
IF(Tidstabel[[#This Row],[År]]=0,0,Tidstabel[[#This Row],[VS_Uds?]]*VS_Enhedspris*((1+Tidstabel[[#This Row],[Kalkulationsrente]])^-Tidstabel[[#This Row],[År]])*((1+PrisudviklingGenerelt)^Tidstabel[[#This Row],[År]]))),BlankTegn)</f>
        <v>.</v>
      </c>
      <c r="BK40" s="262" t="str">
        <f>IFERROR(IF(Tidstabel[[#This Row],[År]]&gt;Input_Tidshorisont,BlankTegn,
IF(Tidstabel[[#This Row],[År]]=0,0,Tidstabel[[#This Row],[VS_Uds?]]*-VS_Enhedspris*VS_Genoprettelse*((1+Tidstabel[[#This Row],[Kalkulationsrente]])^-Tidstabel[[#This Row],[År]])*((1+PrisudviklingGenerelt)^Tidstabel[[#This Row],[År]]))),BlankTegn)</f>
        <v>.</v>
      </c>
      <c r="BL40" s="245">
        <f>IFERROR(IF(Tidstabel[[#This Row],[År]]&gt;Input_Tidshorisont,BlankTegn,
IF(Tidstabel[[#This Row],[År]]=0,-EI_Enhedspris,0)),BlankTegn)</f>
        <v>0</v>
      </c>
      <c r="BM40" s="245" t="str">
        <f>IFERROR(IF(Tidstabel[[#This Row],[År]]&gt;Input_Tidshorisont,BlankTegn,
IF(Tidstabel[[#This Row],[År]]=0,EI_Enhedspris/EI_Levetid,BM39*((1+Tidstabel[[#This Row],[Kalkulationsrente]])^-1)*((1+PrisudviklingGenerelt)^1))),BlankTegn)</f>
        <v>.</v>
      </c>
      <c r="BN40" s="178" t="str">
        <f ca="1">IFERROR(IF(Tidstabel[[#This Row],[År]]&gt;Input_Tidshorisont,BlankTegn,
IF(EI_Vedligehold_i=1,IF(Tidstabel[[#This Row],[EI_Uds?]]=0,1,0),IF(MAX(BN39:OFFSET(BO39,2-EI_Vedligehold_i,0),Tidstabel[[#This Row],[EI_Uds?]])=0,1,0))),BlankTegn)</f>
        <v>.</v>
      </c>
      <c r="BO40" s="178" t="str">
        <f>IFERROR(IF(Tidstabel[[#This Row],[År]]&gt;Input_Tidshorisont,BlankTegn,
IF(Tidstabel[[#This Row],[År]]=0,1,IF(MOD(Tidstabel[[#This Row],[År]],EI_Levetid)=0,1,IF(Tidstabel[[#This Row],[År]]=Input_Tidshorisont,0,0)))),BlankTegn)</f>
        <v>.</v>
      </c>
      <c r="BP40" s="245" t="str">
        <f ca="1">IFERROR(IF(Tidstabel[[#This Row],[År]]&gt;Input_Tidshorisont,BlankTegn,
EI_Vedligehold_p*-EI_Enhedspris*Tidstabel[[#This Row],[EI_Ved?]]*((1+Tidstabel[[#This Row],[Kalkulationsrente]])^-Tidstabel[[#This Row],[År]])*((1+PrisudviklingGenerelt)^Tidstabel[[#This Row],[År]])),BlankTegn)</f>
        <v>.</v>
      </c>
      <c r="BQ40" s="245" t="str">
        <f>IFERROR(IF(Tidstabel[[#This Row],[År]]&gt;Input_Tidshorisont,BlankTegn,
IF(Tidstabel[[#This Row],[År]]=0,EI_Enhedspris,SUM(BQ39:BR39)*((1+Tidstabel[[#This Row],[Kalkulationsrente]])^-1)*((1+PrisudviklingGenerelt)^1)-Tidstabel[[#This Row],[EI_Afskrivning]])),BlankTegn)</f>
        <v>.</v>
      </c>
      <c r="BR40" s="245" t="str">
        <f>IFERROR(IF(Tidstabel[[#This Row],[År]]&gt;Input_Tidshorisont,BlankTegn,
IF(Tidstabel[[#This Row],[År]]=0,0,Tidstabel[[#This Row],[EI_Uds?]]*EI_Enhedspris*((1+Tidstabel[[#This Row],[Kalkulationsrente]])^-Tidstabel[[#This Row],[År]])*((1+PrisudviklingGenerelt)^Tidstabel[[#This Row],[År]]))),BlankTegn)</f>
        <v>.</v>
      </c>
      <c r="BS40" s="262" t="str">
        <f>IFERROR(IF(Tidstabel[[#This Row],[År]]&gt;Input_Tidshorisont,BlankTegn,
IF(Tidstabel[[#This Row],[År]]=0,0,Tidstabel[[#This Row],[EI_Uds?]]*-EI_Enhedspris*EI_Genoprettelse*((1+Tidstabel[[#This Row],[Kalkulationsrente]])^-Tidstabel[[#This Row],[År]])*((1+PrisudviklingGenerelt)^Tidstabel[[#This Row],[År]]))),BlankTegn)</f>
        <v>.</v>
      </c>
      <c r="BT40" s="245">
        <f>IFERROR(IF(Tidstabel[[#This Row],[År]]&gt;Input_Tidshorisont,BlankTegn,
IF(Tidstabel[[#This Row],[År]]=0,-AP_Enhedspris,0)),BlankTegn)</f>
        <v>0</v>
      </c>
      <c r="BU40" s="245" t="str">
        <f>IFERROR(IF(Tidstabel[[#This Row],[År]]&gt;Input_Tidshorisont,BlankTegn,
IF(Tidstabel[[#This Row],[År]]=0,AP_Enhedspris/AP_Levetid,BU39*((1+Tidstabel[[#This Row],[Kalkulationsrente]])^-1)*((1+PrisudviklingGenerelt)^1))),BlankTegn)</f>
        <v>.</v>
      </c>
      <c r="BV40" s="178" t="str">
        <f ca="1">IFERROR(IF(Tidstabel[[#This Row],[År]]&gt;Input_Tidshorisont,BlankTegn,
IF(AP_Vedligehold_i=1,IF(Tidstabel[[#This Row],[AP_Uds?]]=0,1,0),IF(MAX(BV39:OFFSET(BW39,2-AP_Vedligehold_i,0),Tidstabel[[#This Row],[AP_Uds?]])=0,1,0))),BlankTegn)</f>
        <v>.</v>
      </c>
      <c r="BW40" s="178" t="str">
        <f>IFERROR(IF(Tidstabel[[#This Row],[År]]&gt;Input_Tidshorisont,BlankTegn,
IF(Tidstabel[[#This Row],[År]]=0,1,IF(MOD(Tidstabel[[#This Row],[År]],AP_Levetid)=0,1,IF(Tidstabel[[#This Row],[År]]=Input_Tidshorisont,0,0)))),BlankTegn)</f>
        <v>.</v>
      </c>
      <c r="BX40" s="245" t="str">
        <f ca="1">IFERROR(IF(Tidstabel[[#This Row],[År]]&gt;Input_Tidshorisont,BlankTegn,
AP_Vedligehold_p*-AP_Enhedspris*Tidstabel[[#This Row],[AP_Ved?]]*((1+Tidstabel[[#This Row],[Kalkulationsrente]])^-Tidstabel[[#This Row],[År]])*((1+PrisudviklingGenerelt)^Tidstabel[[#This Row],[År]])),BlankTegn)</f>
        <v>.</v>
      </c>
      <c r="BY40" s="245" t="str">
        <f>IFERROR(IF(Tidstabel[[#This Row],[År]]&gt;Input_Tidshorisont,BlankTegn,
IF(Tidstabel[[#This Row],[År]]=0,AP_Enhedspris,SUM(BY39:BZ39)*((1+Tidstabel[[#This Row],[Kalkulationsrente]])^-1)*((1+PrisudviklingGenerelt)^1)-Tidstabel[[#This Row],[AP_Afskrivning]])),BlankTegn)</f>
        <v>.</v>
      </c>
      <c r="BZ40" s="245" t="str">
        <f>IFERROR(IF(Tidstabel[[#This Row],[År]]&gt;Input_Tidshorisont,BlankTegn,
IF(Tidstabel[[#This Row],[År]]=0,0,Tidstabel[[#This Row],[AP_Uds?]]*AP_Enhedspris*((1+Tidstabel[[#This Row],[Kalkulationsrente]])^-Tidstabel[[#This Row],[År]])*((1+PrisudviklingGenerelt)^Tidstabel[[#This Row],[År]]))),BlankTegn)</f>
        <v>.</v>
      </c>
      <c r="CA40" s="262" t="str">
        <f>IFERROR(IF(Tidstabel[[#This Row],[År]]&gt;Input_Tidshorisont,BlankTegn,
IF(Tidstabel[[#This Row],[År]]=0,0,Tidstabel[[#This Row],[AP_Uds?]]*-AP_Enhedspris*AP_Genoprettelse*((1+Tidstabel[[#This Row],[Kalkulationsrente]])^-Tidstabel[[#This Row],[År]])*((1+PrisudviklingGenerelt)^Tidstabel[[#This Row],[År]]))),BlankTegn)</f>
        <v>.</v>
      </c>
      <c r="CB40" s="245">
        <f>IFERROR(IF(Tidstabel[[#This Row],[År]]&gt;Input_Tidshorisont,BlankTegn,
IF(Tidstabel[[#This Row],[År]]=0,-SK_Enhedspris,0)),BlankTegn)</f>
        <v>0</v>
      </c>
      <c r="CC40" s="245" t="str">
        <f>IFERROR(IF(Tidstabel[[#This Row],[År]]&gt;Input_Tidshorisont,BlankTegn,
IF(Tidstabel[[#This Row],[År]]=0,SK_Enhedspris/SK_Levetid,CC39*((1+Tidstabel[[#This Row],[Kalkulationsrente]])^-1)*((1+PrisudviklingGenerelt)^1))),BlankTegn)</f>
        <v>.</v>
      </c>
      <c r="CD40" s="178" t="str">
        <f ca="1">IFERROR(IF(Tidstabel[[#This Row],[År]]&gt;Input_Tidshorisont,BlankTegn,
IF(SK_Vedligehold_i=1,IF(Tidstabel[[#This Row],[SK_Uds?]]=0,1,0),IF(MAX(CD39:OFFSET(CE39,2-SK_Vedligehold_i,0),Tidstabel[[#This Row],[SK_Uds?]])=0,1,0))),BlankTegn)</f>
        <v>.</v>
      </c>
      <c r="CE40" s="178" t="str">
        <f>IFERROR(IF(Tidstabel[[#This Row],[År]]&gt;Input_Tidshorisont,BlankTegn,
IF(Tidstabel[[#This Row],[År]]=0,1,IF(MOD(Tidstabel[[#This Row],[År]],SK_Levetid)=0,1,IF(Tidstabel[[#This Row],[År]]=Input_Tidshorisont,0,0)))),BlankTegn)</f>
        <v>.</v>
      </c>
      <c r="CF40" s="245" t="str">
        <f ca="1">IFERROR(IF(Tidstabel[[#This Row],[År]]&gt;Input_Tidshorisont,BlankTegn,
SK_Vedligehold_p*-SK_Enhedspris*Tidstabel[[#This Row],[SK_Ved?]]*((1+Tidstabel[[#This Row],[Kalkulationsrente]])^-Tidstabel[[#This Row],[År]])*((1+PrisudviklingGenerelt)^Tidstabel[[#This Row],[År]])),BlankTegn)</f>
        <v>.</v>
      </c>
      <c r="CG40" s="245" t="str">
        <f>IFERROR(IF(Tidstabel[[#This Row],[År]]&gt;Input_Tidshorisont,BlankTegn,
IF(Tidstabel[[#This Row],[År]]=0,SK_Enhedspris,SUM(CG39:CH39)*((1+Tidstabel[[#This Row],[Kalkulationsrente]])^-1)*((1+PrisudviklingGenerelt)^1)-Tidstabel[[#This Row],[SK_Afskrivning]])),BlankTegn)</f>
        <v>.</v>
      </c>
      <c r="CH40" s="245" t="str">
        <f>IFERROR(IF(Tidstabel[[#This Row],[År]]&gt;Input_Tidshorisont,BlankTegn,
IF(Tidstabel[[#This Row],[År]]=0,0,Tidstabel[[#This Row],[SK_Uds?]]*SK_Enhedspris*((1+Tidstabel[[#This Row],[Kalkulationsrente]])^-Tidstabel[[#This Row],[År]])*((1+PrisudviklingGenerelt)^Tidstabel[[#This Row],[År]]))),BlankTegn)</f>
        <v>.</v>
      </c>
      <c r="CI40" s="262" t="str">
        <f>IFERROR(IF(Tidstabel[[#This Row],[År]]&gt;Input_Tidshorisont,BlankTegn,
IF(Tidstabel[[#This Row],[År]]=0,0,Tidstabel[[#This Row],[SK_Uds?]]*-SK_Enhedspris*SK_Genoprettelse*((1+Tidstabel[[#This Row],[Kalkulationsrente]])^-Tidstabel[[#This Row],[År]])*((1+PrisudviklingGenerelt)^Tidstabel[[#This Row],[År]]))),BlankTegn)</f>
        <v>.</v>
      </c>
      <c r="CJ40" s="19"/>
    </row>
    <row r="41" spans="1:88">
      <c r="A41" s="250">
        <v>34</v>
      </c>
      <c r="B41" s="250">
        <f>Input_Etableringsår+Tidstabel[[#This Row],[År]]</f>
        <v>2058</v>
      </c>
      <c r="C41" s="274" cm="1">
        <f t="array" ref="C41">_xlfn.IFS(Tidstabel[[#This Row],[År]]&gt;KR_Trin3_Tærskel,KR_Trin3_Rente,Tidstabel[[#This Row],[År]]&gt;KR_Trin2_Tærskel,KR_Trin2_Rente,Tidstabel[[#This Row],[År]]&gt;KR_Trin1_Tærskel,KR_Trin1_Rente,Tidstabel[[#This Row],[År]]&gt;KR_Trin0_Tærskel,KR_Trin0_Rente)</f>
        <v>3.5000000000000003E-2</v>
      </c>
      <c r="D41" s="142" t="str" cm="1">
        <f t="array" ref="D41">IFERROR(
INDEX(Range_Materiale_ÅrligeEmissioner,MATCH(1,(Materialedata[Komponent]=FB_Titel)*(Materialedata[Materiale]=FB_Materiale),0),MATCH(Tidstabel[[#This Row],[År]],Range_Materiale_År,0)),BlankTegn)</f>
        <v>.</v>
      </c>
      <c r="E41" s="142" t="str" cm="1">
        <f t="array" ref="E41">IFERROR(
INDEX(Range_Materiale_ÅrligeEmissioner,MATCH(1,(Materialedata[Komponent]=SK_Titel)*(Materialedata[Materiale]=SK_Materiale),0),MATCH(Tidstabel[[#This Row],[År]],Range_Materiale_År,0)),BlankTegn)</f>
        <v>.</v>
      </c>
      <c r="F41" s="142" t="str" cm="1">
        <f t="array" ref="F41">IFERROR(
INDEX(Range_Materiale_ÅrligeEmissioner,MATCH(1,(Materialedata[Komponent]=EI_Titel)*(Materialedata[Materiale]=EI_Materiale),0),MATCH(Tidstabel[[#This Row],[År]],Range_Materiale_År,0)),BlankTegn)</f>
        <v>.</v>
      </c>
      <c r="G41" s="142" t="str" cm="1">
        <f t="array" ref="G41">IFERROR(
INDEX(Range_Materiale_ÅrligeEmissioner,MATCH(1,(Materialedata[Komponent]=AP_Titel)*(Materialedata[Materiale]=AP_Materiale),0),MATCH(Tidstabel[[#This Row],[År]],Range_Materiale_År,0)),BlankTegn)</f>
        <v>.</v>
      </c>
      <c r="H41" s="142" t="str" cm="1">
        <f t="array" ref="H41">IFERROR(
INDEX(Range_Materiale_ÅrligeEmissioner,MATCH(1,(Materialedata[Komponent]=VS_Titel)*(Materialedata[Materiale]=VS_Materiale),0),MATCH(Tidstabel[[#This Row],[År]],Range_Materiale_År,0)),BlankTegn)</f>
        <v>.</v>
      </c>
      <c r="I41" s="142" t="str">
        <f>IFERROR(
IF(SUM(Tidstabel[[#This Row],[Facadebeklædning]:[Vindspærre]])=0,BlankTegn,
SUM(Tidstabel[[#This Row],[Facadebeklædning]:[Vindspærre]])),BlankTegn)</f>
        <v>.</v>
      </c>
      <c r="J41" s="139">
        <f>IF(Tidstabel[[#This Row],[År]]&gt;Input_Tidshorisont,BlankTegn,
A5_ElVarmeBrændstofByggeplads)</f>
        <v>0.25</v>
      </c>
      <c r="K41" s="142" t="str">
        <f>IFERROR(IF(Tidstabel[[#This Row],[År]]&gt;Input_Tidshorisont,BlankTegn,
-1*INDEX(Range_Energi_ÅrligBesparelse,MATCH(Input_EksisterendeFacade,Energiberegning[Ydervæg],0),MATCH(Tidstabel[[#This Row],[Årstal]],Range_Energi_Årstal,0))),BlankTegn)</f>
        <v>.</v>
      </c>
      <c r="L41" s="142">
        <f>IF(Tidstabel[[#This Row],[År]]&gt;Input_Tidshorisont,BlankTegn,
(Tidstabel[[#This Row],[År]]+1)*(SUM(Vedligeholdelsesmaterialer[Facadefarve],Vedligeholdelsesmaterialer[Grunder og mellemmaling])/12+SUM(Vedligeholdelsesmaterialer[Puds])/30))</f>
        <v>11.369900004166666</v>
      </c>
      <c r="M41" s="142" t="str">
        <f>IFERROR(IF(Tidstabel[[#This Row],[År]]&gt;Input_Tidshorisont,BlankTegn,
Tidstabel[[#This Row],[Materialer_Total]]+Tidstabel[[#This Row],[Byggeprocess]]),BlankTegn)</f>
        <v>.</v>
      </c>
      <c r="N41" s="142" t="str">
        <f>IFERROR(IF(Tidstabel[[#This Row],[År]]&gt;Input_Tidshorisont,BlankTegn,
Tidstabel[[#This Row],[Energibesparelse]]+Tidstabel[[#This Row],[Emission_Brutto]]),BlankTegn)</f>
        <v>.</v>
      </c>
      <c r="O41" s="142" t="str">
        <f>IFERROR(IF(Tidstabel[[#This Row],[År]]&gt;Input_Tidshorisont,BlankTegn,
Tidstabel[[#This Row],[Emission_Netto]]-Tidstabel[[#This Row],[Vedligehold_EksisterendeFacade]]),BlankTegn)</f>
        <v>.</v>
      </c>
      <c r="P41" s="271" t="str">
        <f>IFERROR(IF(Tidstabel[[#This Row],[År]]&gt;Input_Tidshorisont,BlankTegn,
IF(AND(Tidstabel[[#This Row],[Emission_Netto]]-Tidstabel[[#This Row],[Vedligehold_EksisterendeFacade]]&gt;0,N42-L42&lt;0),-1,IF(AND(Tidstabel[[#This Row],[Emission_Netto]]-Tidstabel[[#This Row],[Vedligehold_EksisterendeFacade]]&lt;0,N42-L42&gt;0),1,0))),BlankTegn)</f>
        <v>.</v>
      </c>
      <c r="Q41" s="174" t="str">
        <f>IF(Tidstabel[[#This Row],[År]]&gt;Input_Tidshorisont,BlankTegn,
IF(Tidstabel[[#This Row],[LCA-Skæring]]=-1,SUM(Tidstabel[[#This Row],[År]]*(1-ABS(Tidstabel[[#This Row],[LCA-Difference]])/(ABS(Tidstabel[[#This Row],[LCA-Difference]])+ABS(O42))),A42*(1-ABS(O42)/(ABS(Tidstabel[[#This Row],[LCA-Difference]])+ABS(O42)))),"-"))</f>
        <v>-</v>
      </c>
      <c r="R41" s="174" t="str">
        <f>IF(Tidstabel[[#This Row],[År]]&gt;Input_Tidshorisont,BlankTegn,
IF(Tidstabel[[#This Row],[LCA-Skæring]]=-1,SUM(Tidstabel[[#This Row],[Emission_Netto]]*(1-ABS(Tidstabel[[#This Row],[LCA-Difference]])/(ABS(Tidstabel[[#This Row],[LCA-Difference]])+ABS(O42))),N42*(1-ABS(O42)/(ABS(Tidstabel[[#This Row],[LCA-Difference]])+ABS(O42)))),"-"))</f>
        <v>-</v>
      </c>
      <c r="S41" s="174" t="str">
        <f>IF(Tidstabel[[#This Row],[År]]&gt;Input_Tidshorisont,BlankTegn,
IF(Tidstabel[[#This Row],[LCA-Skæring]]=1,SUM(Tidstabel[[#This Row],[År]]*(1-ABS(Tidstabel[[#This Row],[LCA-Difference]])/(ABS(Tidstabel[[#This Row],[LCA-Difference]])+ABS(O42))),A42*(1-ABS(O42)/(ABS(Tidstabel[[#This Row],[LCA-Difference]])+ABS(O42)))),"-"))</f>
        <v>-</v>
      </c>
      <c r="T41" s="264" t="str">
        <f>IF(Tidstabel[[#This Row],[År]]&gt;Input_Tidshorisont,BlankTegn,
IF(Tidstabel[[#This Row],[LCA-Skæring]]=1,SUM(Tidstabel[[#This Row],[Emission_Netto]]*(1-ABS(Tidstabel[[#This Row],[LCA-Difference]])/(ABS(Tidstabel[[#This Row],[LCA-Difference]])+ABS(O42))),N42*(1-ABS(O42)/(ABS(Tidstabel[[#This Row],[LCA-Difference]])+ABS(O42)))),"-"))</f>
        <v>-</v>
      </c>
      <c r="U41" s="142" t="str">
        <f ca="1">IFERROR(IF(Tidstabel[[#This Row],[År]]&gt;Input_Tidshorisont,BlankTegn,
Tidstabel[[#This Row],[NPV_Klimafacade]]-Tidstabel[[#This Row],[NPV_Eksisterende]]),BlankTegn)</f>
        <v>.</v>
      </c>
      <c r="V41" s="271" t="str">
        <f ca="1">IFERROR(IF(Tidstabel[[#This Row],[År]]&gt;Input_Tidshorisont,BlankTegn,
IF(AND(Tidstabel[[#This Row],[NPV_Klimafacade]]-Tidstabel[[#This Row],[NPV_Eksisterende]]&gt;0,AB42-AA42&lt;0),1,IF(AND(Tidstabel[[#This Row],[NPV_Klimafacade]]-Tidstabel[[#This Row],[NPV_Eksisterende]]&lt;0,AB42-AA42&gt;0),-1,0))),BlankTegn)</f>
        <v>.</v>
      </c>
      <c r="W41" s="174" t="str">
        <f ca="1">IF(Tidstabel[[#This Row],[År]]&gt;Input_Tidshorisont,BlankTegn,
IF(Tidstabel[[#This Row],[LCC-Skæring]]=-1,SUM(Tidstabel[[#This Row],[År]]*(1-ABS(Tidstabel[[#This Row],[LCC-Difference]])/(ABS(Tidstabel[[#This Row],[LCC-Difference]])+ABS(U42))),A42*(1-ABS(U42)/(ABS(Tidstabel[[#This Row],[LCC-Difference]])+ABS(U42)))),"-"))</f>
        <v>-</v>
      </c>
      <c r="X41" s="174" t="str">
        <f ca="1">IF(Tidstabel[[#This Row],[År]]&gt;Input_Tidshorisont,BlankTegn,
IF(Tidstabel[[#This Row],[LCC-Skæring]]=-1,SUM(Tidstabel[[#This Row],[NPV_Klimafacade]]*(1-ABS(Tidstabel[[#This Row],[LCC-Difference]])/(ABS(Tidstabel[[#This Row],[LCC-Difference]])+ABS(U42))),AB42*(1-ABS(U42)/(ABS(Tidstabel[[#This Row],[LCC-Difference]])+ABS(U42)))),"-"))</f>
        <v>-</v>
      </c>
      <c r="Y41" s="174" t="str">
        <f ca="1">IF(Tidstabel[[#This Row],[År]]&gt;Input_Tidshorisont,BlankTegn,
IF(Tidstabel[[#This Row],[LCC-Skæring]]=1,SUM(Tidstabel[[#This Row],[År]]*(1-ABS(Tidstabel[[#This Row],[LCC-Difference]])/(ABS(Tidstabel[[#This Row],[LCC-Difference]])+ABS(U42))),A42*(1-ABS(U42)/(ABS(Tidstabel[[#This Row],[LCC-Difference]])+ABS(U42)))),"-"))</f>
        <v>-</v>
      </c>
      <c r="Z41" s="264" t="str">
        <f ca="1">IF(Tidstabel[[#This Row],[År]]&gt;Input_Tidshorisont,BlankTegn,
IF(Tidstabel[[#This Row],[LCC-Skæring]]=1,SUM(Tidstabel[[#This Row],[NPV_Klimafacade]]*(1-ABS(Tidstabel[[#This Row],[LCC-Difference]])/(ABS(Tidstabel[[#This Row],[LCC-Difference]])+ABS(U42))),AB42*(1-ABS(U42)/(ABS(Tidstabel[[#This Row],[LCC-Difference]])+ABS(U42)))),"-"))</f>
        <v>-</v>
      </c>
      <c r="AA41" s="142">
        <f ca="1">IF(Tidstabel[[#This Row],[År]]&gt;Input_Tidshorisont,BlankTegn,
Tidstabel[[#This Row],[EF_Vedligehold_Aggregeret]])</f>
        <v>-220.42675409042405</v>
      </c>
      <c r="AB41"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41" s="142" t="str">
        <f>IFERROR(IF(Tidstabel[[#This Row],[År]]&gt;Input_Tidshorisont,BlankTegn,
Tidstabel[[#This Row],[KF_Anskaffelse_Aggregeret]]+Tidstabel[[#This Row],[KF_Engangsudgifter_Aggregeret]]),BlankTegn)</f>
        <v>.</v>
      </c>
      <c r="AD41" s="174">
        <f ca="1">IFERROR(IF(Tidstabel[[#This Row],[År]]&gt;Input_Tidshorisont,BlankTegn,
IF(Tidstabel[[#This Row],[År]]=0,0,Tidstabel[[#This Row],[NPV_Eksisterende]]*(Tidstabel[[#This Row],[Kalkulationsrente]]/(1-(1+Tidstabel[[#This Row],[Kalkulationsrente]])^-Tidstabel[[#This Row],[År]])))),BlankTegn)</f>
        <v>-11.188786717975004</v>
      </c>
      <c r="AE41" s="264" t="str">
        <f ca="1">IFERROR(IF(Tidstabel[[#This Row],[År]]&gt;Input_Tidshorisont,BlankTegn,
IF(Tidstabel[[#This Row],[År]]=0,0,Tidstabel[[#This Row],[NPV_Klimafacade]]*(Tidstabel[[#This Row],[Kalkulationsrente]]/(1-(1+Tidstabel[[#This Row],[Kalkulationsrente]])^-Tidstabel[[#This Row],[År]])))),BlankTegn)</f>
        <v>.</v>
      </c>
      <c r="AF41" s="270">
        <f ca="1">IF(Tidstabel[[#This Row],[År]]&gt;Input_Tidshorisont,BlankTegn,
IF(EF_Vedligehold_i=1,IF(Tidstabel[[#This Row],[EF_Uds?]]=0,1,0),IF(MAX(AF40:OFFSET(AG40,2-EF_Vedligehold_i,0),Tidstabel[[#This Row],[EF_Uds?]])=0,1,0)))</f>
        <v>1</v>
      </c>
      <c r="AG41" s="181">
        <f>IF(Tidstabel[[#This Row],[År]]&gt;Input_Tidshorisont,BlankTegn,0)</f>
        <v>0</v>
      </c>
      <c r="AH41" s="263">
        <f ca="1">IF(Tidstabel[[#This Row],[År]]&gt;Input_Tidshorisont,BlankTegn,
Tidstabel[[#This Row],[EF_Ved?]]*EF_Vedligehold_p*-EF_Enhedspris*((1+Tidstabel[[#This Row],[Kalkulationsrente]])^-Tidstabel[[#This Row],[År]])*((1+PrisudviklingGenerelt)^Tidstabel[[#This Row],[År]]))</f>
        <v>-3.3060370155701562</v>
      </c>
      <c r="AI41" s="262">
        <f ca="1">IF(Tidstabel[[#This Row],[År]]&gt;Input_Tidshorisont,BlankTegn,
IF(Tidstabel[[#This Row],[År]]=0,Tidstabel[[#This Row],[EF_Vedligehold]],AI40+Tidstabel[[#This Row],[EF_Vedligehold]]))</f>
        <v>-220.42675409042405</v>
      </c>
      <c r="AJ41" s="245">
        <f>IFERROR(IF(Tidstabel[[#This Row],[År]]&gt;Input_Tidshorisont,BlankTegn,
Tidstabel[[#This Row],[FB_Anskaffelse]]+Tidstabel[[#This Row],[VS_Anskaffelse]]+Tidstabel[[#This Row],[EI_Anskaffelse]]+Tidstabel[[#This Row],[AP_Anskaffelse]]+Tidstabel[[#This Row],[SK_Anskaffelse]]),BlankTegn)</f>
        <v>0</v>
      </c>
      <c r="AK41" s="245" t="str">
        <f>IFERROR(IF(Tidstabel[[#This Row],[År]]&gt;Input_Tidshorisont,BlankTegn,
IF(Tidstabel[[#This Row],[År]]=0,Tidstabel[[#This Row],[KF_Anskaffelse]],AK40+Tidstabel[[#This Row],[KF_Anskaffelse]])),BlankTegn)</f>
        <v>.</v>
      </c>
      <c r="AL41" s="246" t="str">
        <f ca="1">IFERROR(IF(Tidstabel[[#This Row],[År]]&gt;Input_Tidshorisont,BlankTegn,
Tidstabel[[#This Row],[FB_Vedligehold]]+Tidstabel[[#This Row],[VS_Vedligehold]]+Tidstabel[[#This Row],[EI_Vedligehold]]+Tidstabel[[#This Row],[AP_Vedligehold]]+Tidstabel[[#This Row],[SK_Vedligehold]]),BlankTegn)</f>
        <v>.</v>
      </c>
      <c r="AM41" s="245" t="str">
        <f ca="1">IFERROR(IF(Tidstabel[[#This Row],[År]]&gt;Input_Tidshorisont,BlankTegn,
IF(Tidstabel[[#This Row],[År]]=0,Tidstabel[[#This Row],[KF_Vedligehold]],AM40+Tidstabel[[#This Row],[KF_Vedligehold]])),BlankTegn)</f>
        <v>.</v>
      </c>
      <c r="AN41"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41"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41" s="245" t="str">
        <f>IFERROR(IF(Tidstabel[[#This Row],[År]]&gt;Input_Tidshorisont,BlankTegn,
IF(Tidstabel[[#This Row],[År]]=0,Tidstabel[[#This Row],[KF_Udskiftning_Komponent]],AP40+Tidstabel[[#This Row],[KF_Udskiftning_Komponent]])),BlankTegn)</f>
        <v>.</v>
      </c>
      <c r="AQ41" s="245">
        <f>IF(Tidstabel[[#This Row],[År]]&gt;Input_Tidshorisont,BlankTegn,
IF(Tidstabel[[#This Row],[År]]=0,-SUM(Engangsudgifter[Udgift]),0))</f>
        <v>0</v>
      </c>
      <c r="AR41" s="245">
        <f>IFERROR(IF(Tidstabel[[#This Row],[År]]&gt;Input_Tidshorisont,BlankTegn,
IF(Tidstabel[[#This Row],[År]]=0,Tidstabel[[#This Row],[KF_Engangsudgifter]],AR40+Tidstabel[[#This Row],[KF_Engangsudgifter]])),BlankTegn)</f>
        <v>0</v>
      </c>
      <c r="AS41" s="315" t="str">
        <f>IFERROR(IF(Tidstabel[[#This Row],[År]]&gt;Input_Tidshorisont,BlankTegn,
-Energibesparelse_Årlig),BlankTegn)</f>
        <v>.</v>
      </c>
      <c r="AT41" s="245" t="str">
        <f>IFERROR(IF(Tidstabel[[#This Row],[År]]&gt;Input_Tidshorisont,BlankTegn,
IF(Tidstabel[[#This Row],[År]]=0,0,-Tidstabel[[#This Row],[KF_Energiforbrug]]*Input_Fjernvarmepris*((1+Tidstabel[[#This Row],[Kalkulationsrente]])^-Tidstabel[[#This Row],[År]])*((1+PrisudviklingFjernvarme)^Tidstabel[[#This Row],[År]]))),BlankTegn)</f>
        <v>.</v>
      </c>
      <c r="AU41" s="262" t="str">
        <f>IFERROR(IF(Tidstabel[[#This Row],[År]]&gt;Input_Tidshorisont,BlankTegn,
IF(Tidstabel[[#This Row],[År]]=0,Tidstabel[[#This Row],[KF_Forsyning]],AU40+Tidstabel[[#This Row],[KF_Forsyning]])),BlankTegn)</f>
        <v>.</v>
      </c>
      <c r="AV41" s="245">
        <f>IFERROR(IF(Tidstabel[[#This Row],[År]]&gt;Input_Tidshorisont,BlankTegn,
IF(Tidstabel[[#This Row],[År]]=0,-FB_Enhedspris,0)),BlankTegn)</f>
        <v>0</v>
      </c>
      <c r="AW41" s="245" t="str">
        <f>IFERROR(IF(Tidstabel[[#This Row],[År]]&gt;Input_Tidshorisont,BlankTegn,
IF(Tidstabel[[#This Row],[År]]=0,FB_Enhedspris/FB_Levetid,AW40*((1+Tidstabel[[#This Row],[Kalkulationsrente]])^-1)*((1+PrisudviklingGenerelt)^1))),BlankTegn)</f>
        <v>.</v>
      </c>
      <c r="AX41" s="178" t="str">
        <f ca="1">IFERROR(IF(Tidstabel[[#This Row],[År]]&gt;Input_Tidshorisont,BlankTegn,
IF(FB_Vedligehold_i=1,IF(Tidstabel[[#This Row],[FB_Uds?]]=0,1,0),IF(MAX(AX40:OFFSET(AY40,2-FB_Vedligehold_i,0),Tidstabel[[#This Row],[FB_Uds?]])=0,1,0))),BlankTegn)</f>
        <v>.</v>
      </c>
      <c r="AY41" s="178" t="str">
        <f>IFERROR(IF(Tidstabel[[#This Row],[År]]&gt;Input_Tidshorisont,BlankTegn,
IF(Tidstabel[[#This Row],[År]]=0,1,IF(MOD(Tidstabel[[#This Row],[År]],FB_Levetid)=0,1,IF(Tidstabel[[#This Row],[År]]=Input_Tidshorisont,0,0)))),BlankTegn)</f>
        <v>.</v>
      </c>
      <c r="AZ41" s="245" t="str">
        <f ca="1">IFERROR(IF(Tidstabel[[#This Row],[År]]&gt;Input_Tidshorisont,BlankTegn,
FB_Vedligehold_p*-FB_Enhedspris*Tidstabel[[#This Row],[FB_Ved?]]*((1+Tidstabel[[#This Row],[Kalkulationsrente]])^-Tidstabel[[#This Row],[År]])*((1+PrisudviklingGenerelt)^Tidstabel[[#This Row],[År]])),BlankTegn)</f>
        <v>.</v>
      </c>
      <c r="BA41" s="245" t="str">
        <f>IFERROR(IF(Tidstabel[[#This Row],[År]]&gt;Input_Tidshorisont,BlankTegn,
IF(Tidstabel[[#This Row],[År]]=0,FB_Enhedspris,SUM(BA40:BB40)*((1+Tidstabel[[#This Row],[Kalkulationsrente]])^-1)*((1+PrisudviklingGenerelt)^1)-Tidstabel[[#This Row],[FB_Afskrivning]])),BlankTegn)</f>
        <v>.</v>
      </c>
      <c r="BB41" s="245" t="str">
        <f>IFERROR(IF(Tidstabel[[#This Row],[År]]&gt;Input_Tidshorisont,BlankTegn,
IF(Tidstabel[[#This Row],[År]]=0,0,Tidstabel[[#This Row],[FB_Uds?]]*FB_Enhedspris*((1+Tidstabel[[#This Row],[Kalkulationsrente]])^-Tidstabel[[#This Row],[År]])*((1+PrisudviklingGenerelt)^Tidstabel[[#This Row],[År]]))),BlankTegn)</f>
        <v>.</v>
      </c>
      <c r="BC41" s="262" t="str">
        <f>IFERROR(IF(Tidstabel[[#This Row],[År]]&gt;Input_Tidshorisont,BlankTegn,
IF(Tidstabel[[#This Row],[År]]=0,0,Tidstabel[[#This Row],[FB_Uds?]]*-FB_Enhedspris*FB_Genoprettelse*((1+Tidstabel[[#This Row],[Kalkulationsrente]])^-Tidstabel[[#This Row],[År]])*((1+PrisudviklingGenerelt)^Tidstabel[[#This Row],[År]]))),BlankTegn)</f>
        <v>.</v>
      </c>
      <c r="BD41" s="245">
        <f>IFERROR(IF(Tidstabel[[#This Row],[År]]&gt;Input_Tidshorisont,BlankTegn,
IF(Tidstabel[[#This Row],[År]]=0,-VS_Enhedspris,0)),BlankTegn)</f>
        <v>0</v>
      </c>
      <c r="BE41" s="245" t="str">
        <f>IFERROR(IF(Tidstabel[[#This Row],[År]]&gt;Input_Tidshorisont,BlankTegn,
IF(Tidstabel[[#This Row],[År]]=0,VS_Enhedspris/VS_Levetid,BE40*((1+Tidstabel[[#This Row],[Kalkulationsrente]])^-1)*((1+PrisudviklingGenerelt)^1))),BlankTegn)</f>
        <v>.</v>
      </c>
      <c r="BF41" s="178" t="str">
        <f ca="1">IFERROR(IF(Tidstabel[[#This Row],[År]]&gt;Input_Tidshorisont,BlankTegn,
IF(VS_Vedligehold_i=1,IF(Tidstabel[[#This Row],[VS_Uds?]]=0,1,0),IF(MAX(BF40:OFFSET(BG40,2-VS_Vedligehold_i,0),Tidstabel[[#This Row],[VS_Uds?]])=0,1,0))),BlankTegn)</f>
        <v>.</v>
      </c>
      <c r="BG41" s="178" t="str">
        <f>IFERROR(IF(Tidstabel[[#This Row],[År]]&gt;Input_Tidshorisont,BlankTegn,
IF(Tidstabel[[#This Row],[År]]=0,1,IF(MOD(Tidstabel[[#This Row],[År]],VS_Levetid)=0,1,IF(Tidstabel[[#This Row],[År]]=Input_Tidshorisont,0,0)))),BlankTegn)</f>
        <v>.</v>
      </c>
      <c r="BH41" s="245" t="str">
        <f ca="1">IFERROR(IF(Tidstabel[[#This Row],[År]]&gt;Input_Tidshorisont,BlankTegn,
VS_Vedligehold_p*-VS_Enhedspris*Tidstabel[[#This Row],[VS_Ved?]]*((1+Tidstabel[[#This Row],[Kalkulationsrente]])^-Tidstabel[[#This Row],[År]])*((1+PrisudviklingGenerelt)^Tidstabel[[#This Row],[År]])),BlankTegn)</f>
        <v>.</v>
      </c>
      <c r="BI41" s="245" t="str">
        <f>IFERROR(IF(Tidstabel[[#This Row],[År]]&gt;Input_Tidshorisont,BlankTegn,
IF(Tidstabel[[#This Row],[År]]=0,VS_Enhedspris,SUM(BI40:BJ40)*((1+Tidstabel[[#This Row],[Kalkulationsrente]])^-1)*((1+PrisudviklingGenerelt)^1)-Tidstabel[[#This Row],[VS_Afskrivning]])),BlankTegn)</f>
        <v>.</v>
      </c>
      <c r="BJ41" s="245" t="str">
        <f>IFERROR(IF(Tidstabel[[#This Row],[År]]&gt;Input_Tidshorisont,BlankTegn,
IF(Tidstabel[[#This Row],[År]]=0,0,Tidstabel[[#This Row],[VS_Uds?]]*VS_Enhedspris*((1+Tidstabel[[#This Row],[Kalkulationsrente]])^-Tidstabel[[#This Row],[År]])*((1+PrisudviklingGenerelt)^Tidstabel[[#This Row],[År]]))),BlankTegn)</f>
        <v>.</v>
      </c>
      <c r="BK41" s="262" t="str">
        <f>IFERROR(IF(Tidstabel[[#This Row],[År]]&gt;Input_Tidshorisont,BlankTegn,
IF(Tidstabel[[#This Row],[År]]=0,0,Tidstabel[[#This Row],[VS_Uds?]]*-VS_Enhedspris*VS_Genoprettelse*((1+Tidstabel[[#This Row],[Kalkulationsrente]])^-Tidstabel[[#This Row],[År]])*((1+PrisudviklingGenerelt)^Tidstabel[[#This Row],[År]]))),BlankTegn)</f>
        <v>.</v>
      </c>
      <c r="BL41" s="245">
        <f>IFERROR(IF(Tidstabel[[#This Row],[År]]&gt;Input_Tidshorisont,BlankTegn,
IF(Tidstabel[[#This Row],[År]]=0,-EI_Enhedspris,0)),BlankTegn)</f>
        <v>0</v>
      </c>
      <c r="BM41" s="245" t="str">
        <f>IFERROR(IF(Tidstabel[[#This Row],[År]]&gt;Input_Tidshorisont,BlankTegn,
IF(Tidstabel[[#This Row],[År]]=0,EI_Enhedspris/EI_Levetid,BM40*((1+Tidstabel[[#This Row],[Kalkulationsrente]])^-1)*((1+PrisudviklingGenerelt)^1))),BlankTegn)</f>
        <v>.</v>
      </c>
      <c r="BN41" s="178" t="str">
        <f ca="1">IFERROR(IF(Tidstabel[[#This Row],[År]]&gt;Input_Tidshorisont,BlankTegn,
IF(EI_Vedligehold_i=1,IF(Tidstabel[[#This Row],[EI_Uds?]]=0,1,0),IF(MAX(BN40:OFFSET(BO40,2-EI_Vedligehold_i,0),Tidstabel[[#This Row],[EI_Uds?]])=0,1,0))),BlankTegn)</f>
        <v>.</v>
      </c>
      <c r="BO41" s="178" t="str">
        <f>IFERROR(IF(Tidstabel[[#This Row],[År]]&gt;Input_Tidshorisont,BlankTegn,
IF(Tidstabel[[#This Row],[År]]=0,1,IF(MOD(Tidstabel[[#This Row],[År]],EI_Levetid)=0,1,IF(Tidstabel[[#This Row],[År]]=Input_Tidshorisont,0,0)))),BlankTegn)</f>
        <v>.</v>
      </c>
      <c r="BP41" s="245" t="str">
        <f ca="1">IFERROR(IF(Tidstabel[[#This Row],[År]]&gt;Input_Tidshorisont,BlankTegn,
EI_Vedligehold_p*-EI_Enhedspris*Tidstabel[[#This Row],[EI_Ved?]]*((1+Tidstabel[[#This Row],[Kalkulationsrente]])^-Tidstabel[[#This Row],[År]])*((1+PrisudviklingGenerelt)^Tidstabel[[#This Row],[År]])),BlankTegn)</f>
        <v>.</v>
      </c>
      <c r="BQ41" s="245" t="str">
        <f>IFERROR(IF(Tidstabel[[#This Row],[År]]&gt;Input_Tidshorisont,BlankTegn,
IF(Tidstabel[[#This Row],[År]]=0,EI_Enhedspris,SUM(BQ40:BR40)*((1+Tidstabel[[#This Row],[Kalkulationsrente]])^-1)*((1+PrisudviklingGenerelt)^1)-Tidstabel[[#This Row],[EI_Afskrivning]])),BlankTegn)</f>
        <v>.</v>
      </c>
      <c r="BR41" s="245" t="str">
        <f>IFERROR(IF(Tidstabel[[#This Row],[År]]&gt;Input_Tidshorisont,BlankTegn,
IF(Tidstabel[[#This Row],[År]]=0,0,Tidstabel[[#This Row],[EI_Uds?]]*EI_Enhedspris*((1+Tidstabel[[#This Row],[Kalkulationsrente]])^-Tidstabel[[#This Row],[År]])*((1+PrisudviklingGenerelt)^Tidstabel[[#This Row],[År]]))),BlankTegn)</f>
        <v>.</v>
      </c>
      <c r="BS41" s="262" t="str">
        <f>IFERROR(IF(Tidstabel[[#This Row],[År]]&gt;Input_Tidshorisont,BlankTegn,
IF(Tidstabel[[#This Row],[År]]=0,0,Tidstabel[[#This Row],[EI_Uds?]]*-EI_Enhedspris*EI_Genoprettelse*((1+Tidstabel[[#This Row],[Kalkulationsrente]])^-Tidstabel[[#This Row],[År]])*((1+PrisudviklingGenerelt)^Tidstabel[[#This Row],[År]]))),BlankTegn)</f>
        <v>.</v>
      </c>
      <c r="BT41" s="245">
        <f>IFERROR(IF(Tidstabel[[#This Row],[År]]&gt;Input_Tidshorisont,BlankTegn,
IF(Tidstabel[[#This Row],[År]]=0,-AP_Enhedspris,0)),BlankTegn)</f>
        <v>0</v>
      </c>
      <c r="BU41" s="245" t="str">
        <f>IFERROR(IF(Tidstabel[[#This Row],[År]]&gt;Input_Tidshorisont,BlankTegn,
IF(Tidstabel[[#This Row],[År]]=0,AP_Enhedspris/AP_Levetid,BU40*((1+Tidstabel[[#This Row],[Kalkulationsrente]])^-1)*((1+PrisudviklingGenerelt)^1))),BlankTegn)</f>
        <v>.</v>
      </c>
      <c r="BV41" s="178" t="str">
        <f ca="1">IFERROR(IF(Tidstabel[[#This Row],[År]]&gt;Input_Tidshorisont,BlankTegn,
IF(AP_Vedligehold_i=1,IF(Tidstabel[[#This Row],[AP_Uds?]]=0,1,0),IF(MAX(BV40:OFFSET(BW40,2-AP_Vedligehold_i,0),Tidstabel[[#This Row],[AP_Uds?]])=0,1,0))),BlankTegn)</f>
        <v>.</v>
      </c>
      <c r="BW41" s="178" t="str">
        <f>IFERROR(IF(Tidstabel[[#This Row],[År]]&gt;Input_Tidshorisont,BlankTegn,
IF(Tidstabel[[#This Row],[År]]=0,1,IF(MOD(Tidstabel[[#This Row],[År]],AP_Levetid)=0,1,IF(Tidstabel[[#This Row],[År]]=Input_Tidshorisont,0,0)))),BlankTegn)</f>
        <v>.</v>
      </c>
      <c r="BX41" s="245" t="str">
        <f ca="1">IFERROR(IF(Tidstabel[[#This Row],[År]]&gt;Input_Tidshorisont,BlankTegn,
AP_Vedligehold_p*-AP_Enhedspris*Tidstabel[[#This Row],[AP_Ved?]]*((1+Tidstabel[[#This Row],[Kalkulationsrente]])^-Tidstabel[[#This Row],[År]])*((1+PrisudviklingGenerelt)^Tidstabel[[#This Row],[År]])),BlankTegn)</f>
        <v>.</v>
      </c>
      <c r="BY41" s="245" t="str">
        <f>IFERROR(IF(Tidstabel[[#This Row],[År]]&gt;Input_Tidshorisont,BlankTegn,
IF(Tidstabel[[#This Row],[År]]=0,AP_Enhedspris,SUM(BY40:BZ40)*((1+Tidstabel[[#This Row],[Kalkulationsrente]])^-1)*((1+PrisudviklingGenerelt)^1)-Tidstabel[[#This Row],[AP_Afskrivning]])),BlankTegn)</f>
        <v>.</v>
      </c>
      <c r="BZ41" s="245" t="str">
        <f>IFERROR(IF(Tidstabel[[#This Row],[År]]&gt;Input_Tidshorisont,BlankTegn,
IF(Tidstabel[[#This Row],[År]]=0,0,Tidstabel[[#This Row],[AP_Uds?]]*AP_Enhedspris*((1+Tidstabel[[#This Row],[Kalkulationsrente]])^-Tidstabel[[#This Row],[År]])*((1+PrisudviklingGenerelt)^Tidstabel[[#This Row],[År]]))),BlankTegn)</f>
        <v>.</v>
      </c>
      <c r="CA41" s="262" t="str">
        <f>IFERROR(IF(Tidstabel[[#This Row],[År]]&gt;Input_Tidshorisont,BlankTegn,
IF(Tidstabel[[#This Row],[År]]=0,0,Tidstabel[[#This Row],[AP_Uds?]]*-AP_Enhedspris*AP_Genoprettelse*((1+Tidstabel[[#This Row],[Kalkulationsrente]])^-Tidstabel[[#This Row],[År]])*((1+PrisudviklingGenerelt)^Tidstabel[[#This Row],[År]]))),BlankTegn)</f>
        <v>.</v>
      </c>
      <c r="CB41" s="245">
        <f>IFERROR(IF(Tidstabel[[#This Row],[År]]&gt;Input_Tidshorisont,BlankTegn,
IF(Tidstabel[[#This Row],[År]]=0,-SK_Enhedspris,0)),BlankTegn)</f>
        <v>0</v>
      </c>
      <c r="CC41" s="245" t="str">
        <f>IFERROR(IF(Tidstabel[[#This Row],[År]]&gt;Input_Tidshorisont,BlankTegn,
IF(Tidstabel[[#This Row],[År]]=0,SK_Enhedspris/SK_Levetid,CC40*((1+Tidstabel[[#This Row],[Kalkulationsrente]])^-1)*((1+PrisudviklingGenerelt)^1))),BlankTegn)</f>
        <v>.</v>
      </c>
      <c r="CD41" s="178" t="str">
        <f ca="1">IFERROR(IF(Tidstabel[[#This Row],[År]]&gt;Input_Tidshorisont,BlankTegn,
IF(SK_Vedligehold_i=1,IF(Tidstabel[[#This Row],[SK_Uds?]]=0,1,0),IF(MAX(CD40:OFFSET(CE40,2-SK_Vedligehold_i,0),Tidstabel[[#This Row],[SK_Uds?]])=0,1,0))),BlankTegn)</f>
        <v>.</v>
      </c>
      <c r="CE41" s="178" t="str">
        <f>IFERROR(IF(Tidstabel[[#This Row],[År]]&gt;Input_Tidshorisont,BlankTegn,
IF(Tidstabel[[#This Row],[År]]=0,1,IF(MOD(Tidstabel[[#This Row],[År]],SK_Levetid)=0,1,IF(Tidstabel[[#This Row],[År]]=Input_Tidshorisont,0,0)))),BlankTegn)</f>
        <v>.</v>
      </c>
      <c r="CF41" s="245" t="str">
        <f ca="1">IFERROR(IF(Tidstabel[[#This Row],[År]]&gt;Input_Tidshorisont,BlankTegn,
SK_Vedligehold_p*-SK_Enhedspris*Tidstabel[[#This Row],[SK_Ved?]]*((1+Tidstabel[[#This Row],[Kalkulationsrente]])^-Tidstabel[[#This Row],[År]])*((1+PrisudviklingGenerelt)^Tidstabel[[#This Row],[År]])),BlankTegn)</f>
        <v>.</v>
      </c>
      <c r="CG41" s="245" t="str">
        <f>IFERROR(IF(Tidstabel[[#This Row],[År]]&gt;Input_Tidshorisont,BlankTegn,
IF(Tidstabel[[#This Row],[År]]=0,SK_Enhedspris,SUM(CG40:CH40)*((1+Tidstabel[[#This Row],[Kalkulationsrente]])^-1)*((1+PrisudviklingGenerelt)^1)-Tidstabel[[#This Row],[SK_Afskrivning]])),BlankTegn)</f>
        <v>.</v>
      </c>
      <c r="CH41" s="245" t="str">
        <f>IFERROR(IF(Tidstabel[[#This Row],[År]]&gt;Input_Tidshorisont,BlankTegn,
IF(Tidstabel[[#This Row],[År]]=0,0,Tidstabel[[#This Row],[SK_Uds?]]*SK_Enhedspris*((1+Tidstabel[[#This Row],[Kalkulationsrente]])^-Tidstabel[[#This Row],[År]])*((1+PrisudviklingGenerelt)^Tidstabel[[#This Row],[År]]))),BlankTegn)</f>
        <v>.</v>
      </c>
      <c r="CI41" s="262" t="str">
        <f>IFERROR(IF(Tidstabel[[#This Row],[År]]&gt;Input_Tidshorisont,BlankTegn,
IF(Tidstabel[[#This Row],[År]]=0,0,Tidstabel[[#This Row],[SK_Uds?]]*-SK_Enhedspris*SK_Genoprettelse*((1+Tidstabel[[#This Row],[Kalkulationsrente]])^-Tidstabel[[#This Row],[År]])*((1+PrisudviklingGenerelt)^Tidstabel[[#This Row],[År]]))),BlankTegn)</f>
        <v>.</v>
      </c>
      <c r="CJ41" s="19"/>
    </row>
    <row r="42" spans="1:88">
      <c r="A42" s="250">
        <v>35</v>
      </c>
      <c r="B42" s="250">
        <f>Input_Etableringsår+Tidstabel[[#This Row],[År]]</f>
        <v>2059</v>
      </c>
      <c r="C42" s="274" cm="1">
        <f t="array" ref="C42">_xlfn.IFS(Tidstabel[[#This Row],[År]]&gt;KR_Trin3_Tærskel,KR_Trin3_Rente,Tidstabel[[#This Row],[År]]&gt;KR_Trin2_Tærskel,KR_Trin2_Rente,Tidstabel[[#This Row],[År]]&gt;KR_Trin1_Tærskel,KR_Trin1_Rente,Tidstabel[[#This Row],[År]]&gt;KR_Trin0_Tærskel,KR_Trin0_Rente)</f>
        <v>3.5000000000000003E-2</v>
      </c>
      <c r="D42" s="142" t="str" cm="1">
        <f t="array" ref="D42">IFERROR(
INDEX(Range_Materiale_ÅrligeEmissioner,MATCH(1,(Materialedata[Komponent]=FB_Titel)*(Materialedata[Materiale]=FB_Materiale),0),MATCH(Tidstabel[[#This Row],[År]],Range_Materiale_År,0)),BlankTegn)</f>
        <v>.</v>
      </c>
      <c r="E42" s="142" t="str" cm="1">
        <f t="array" ref="E42">IFERROR(
INDEX(Range_Materiale_ÅrligeEmissioner,MATCH(1,(Materialedata[Komponent]=SK_Titel)*(Materialedata[Materiale]=SK_Materiale),0),MATCH(Tidstabel[[#This Row],[År]],Range_Materiale_År,0)),BlankTegn)</f>
        <v>.</v>
      </c>
      <c r="F42" s="142" t="str" cm="1">
        <f t="array" ref="F42">IFERROR(
INDEX(Range_Materiale_ÅrligeEmissioner,MATCH(1,(Materialedata[Komponent]=EI_Titel)*(Materialedata[Materiale]=EI_Materiale),0),MATCH(Tidstabel[[#This Row],[År]],Range_Materiale_År,0)),BlankTegn)</f>
        <v>.</v>
      </c>
      <c r="G42" s="142" t="str" cm="1">
        <f t="array" ref="G42">IFERROR(
INDEX(Range_Materiale_ÅrligeEmissioner,MATCH(1,(Materialedata[Komponent]=AP_Titel)*(Materialedata[Materiale]=AP_Materiale),0),MATCH(Tidstabel[[#This Row],[År]],Range_Materiale_År,0)),BlankTegn)</f>
        <v>.</v>
      </c>
      <c r="H42" s="142" t="str" cm="1">
        <f t="array" ref="H42">IFERROR(
INDEX(Range_Materiale_ÅrligeEmissioner,MATCH(1,(Materialedata[Komponent]=VS_Titel)*(Materialedata[Materiale]=VS_Materiale),0),MATCH(Tidstabel[[#This Row],[År]],Range_Materiale_År,0)),BlankTegn)</f>
        <v>.</v>
      </c>
      <c r="I42" s="142" t="str">
        <f>IFERROR(
IF(SUM(Tidstabel[[#This Row],[Facadebeklædning]:[Vindspærre]])=0,BlankTegn,
SUM(Tidstabel[[#This Row],[Facadebeklædning]:[Vindspærre]])),BlankTegn)</f>
        <v>.</v>
      </c>
      <c r="J42" s="139">
        <f>IF(Tidstabel[[#This Row],[År]]&gt;Input_Tidshorisont,BlankTegn,
A5_ElVarmeBrændstofByggeplads)</f>
        <v>0.25</v>
      </c>
      <c r="K42" s="142" t="str">
        <f>IFERROR(IF(Tidstabel[[#This Row],[År]]&gt;Input_Tidshorisont,BlankTegn,
-1*INDEX(Range_Energi_ÅrligBesparelse,MATCH(Input_EksisterendeFacade,Energiberegning[Ydervæg],0),MATCH(Tidstabel[[#This Row],[Årstal]],Range_Energi_Årstal,0))),BlankTegn)</f>
        <v>.</v>
      </c>
      <c r="L42" s="142">
        <f>IF(Tidstabel[[#This Row],[År]]&gt;Input_Tidshorisont,BlankTegn,
(Tidstabel[[#This Row],[År]]+1)*(SUM(Vedligeholdelsesmaterialer[Facadefarve],Vedligeholdelsesmaterialer[Grunder og mellemmaling])/12+SUM(Vedligeholdelsesmaterialer[Puds])/30))</f>
        <v>11.694754289999999</v>
      </c>
      <c r="M42" s="142" t="str">
        <f>IFERROR(IF(Tidstabel[[#This Row],[År]]&gt;Input_Tidshorisont,BlankTegn,
Tidstabel[[#This Row],[Materialer_Total]]+Tidstabel[[#This Row],[Byggeprocess]]),BlankTegn)</f>
        <v>.</v>
      </c>
      <c r="N42" s="142" t="str">
        <f>IFERROR(IF(Tidstabel[[#This Row],[År]]&gt;Input_Tidshorisont,BlankTegn,
Tidstabel[[#This Row],[Energibesparelse]]+Tidstabel[[#This Row],[Emission_Brutto]]),BlankTegn)</f>
        <v>.</v>
      </c>
      <c r="O42" s="142" t="str">
        <f>IFERROR(IF(Tidstabel[[#This Row],[År]]&gt;Input_Tidshorisont,BlankTegn,
Tidstabel[[#This Row],[Emission_Netto]]-Tidstabel[[#This Row],[Vedligehold_EksisterendeFacade]]),BlankTegn)</f>
        <v>.</v>
      </c>
      <c r="P42" s="271" t="str">
        <f>IFERROR(IF(Tidstabel[[#This Row],[År]]&gt;Input_Tidshorisont,BlankTegn,
IF(AND(Tidstabel[[#This Row],[Emission_Netto]]-Tidstabel[[#This Row],[Vedligehold_EksisterendeFacade]]&gt;0,N43-L43&lt;0),-1,IF(AND(Tidstabel[[#This Row],[Emission_Netto]]-Tidstabel[[#This Row],[Vedligehold_EksisterendeFacade]]&lt;0,N43-L43&gt;0),1,0))),BlankTegn)</f>
        <v>.</v>
      </c>
      <c r="Q42" s="174" t="str">
        <f>IF(Tidstabel[[#This Row],[År]]&gt;Input_Tidshorisont,BlankTegn,
IF(Tidstabel[[#This Row],[LCA-Skæring]]=-1,SUM(Tidstabel[[#This Row],[År]]*(1-ABS(Tidstabel[[#This Row],[LCA-Difference]])/(ABS(Tidstabel[[#This Row],[LCA-Difference]])+ABS(O43))),A43*(1-ABS(O43)/(ABS(Tidstabel[[#This Row],[LCA-Difference]])+ABS(O43)))),"-"))</f>
        <v>-</v>
      </c>
      <c r="R42" s="174" t="str">
        <f>IF(Tidstabel[[#This Row],[År]]&gt;Input_Tidshorisont,BlankTegn,
IF(Tidstabel[[#This Row],[LCA-Skæring]]=-1,SUM(Tidstabel[[#This Row],[Emission_Netto]]*(1-ABS(Tidstabel[[#This Row],[LCA-Difference]])/(ABS(Tidstabel[[#This Row],[LCA-Difference]])+ABS(O43))),N43*(1-ABS(O43)/(ABS(Tidstabel[[#This Row],[LCA-Difference]])+ABS(O43)))),"-"))</f>
        <v>-</v>
      </c>
      <c r="S42" s="174" t="str">
        <f>IF(Tidstabel[[#This Row],[År]]&gt;Input_Tidshorisont,BlankTegn,
IF(Tidstabel[[#This Row],[LCA-Skæring]]=1,SUM(Tidstabel[[#This Row],[År]]*(1-ABS(Tidstabel[[#This Row],[LCA-Difference]])/(ABS(Tidstabel[[#This Row],[LCA-Difference]])+ABS(O43))),A43*(1-ABS(O43)/(ABS(Tidstabel[[#This Row],[LCA-Difference]])+ABS(O43)))),"-"))</f>
        <v>-</v>
      </c>
      <c r="T42" s="264" t="str">
        <f>IF(Tidstabel[[#This Row],[År]]&gt;Input_Tidshorisont,BlankTegn,
IF(Tidstabel[[#This Row],[LCA-Skæring]]=1,SUM(Tidstabel[[#This Row],[Emission_Netto]]*(1-ABS(Tidstabel[[#This Row],[LCA-Difference]])/(ABS(Tidstabel[[#This Row],[LCA-Difference]])+ABS(O43))),N43*(1-ABS(O43)/(ABS(Tidstabel[[#This Row],[LCA-Difference]])+ABS(O43)))),"-"))</f>
        <v>-</v>
      </c>
      <c r="U42" s="142" t="str">
        <f ca="1">IFERROR(IF(Tidstabel[[#This Row],[År]]&gt;Input_Tidshorisont,BlankTegn,
Tidstabel[[#This Row],[NPV_Klimafacade]]-Tidstabel[[#This Row],[NPV_Eksisterende]]),BlankTegn)</f>
        <v>.</v>
      </c>
      <c r="V42" s="271" t="str">
        <f ca="1">IFERROR(IF(Tidstabel[[#This Row],[År]]&gt;Input_Tidshorisont,BlankTegn,
IF(AND(Tidstabel[[#This Row],[NPV_Klimafacade]]-Tidstabel[[#This Row],[NPV_Eksisterende]]&gt;0,AB43-AA43&lt;0),1,IF(AND(Tidstabel[[#This Row],[NPV_Klimafacade]]-Tidstabel[[#This Row],[NPV_Eksisterende]]&lt;0,AB43-AA43&gt;0),-1,0))),BlankTegn)</f>
        <v>.</v>
      </c>
      <c r="W42" s="174" t="str">
        <f ca="1">IF(Tidstabel[[#This Row],[År]]&gt;Input_Tidshorisont,BlankTegn,
IF(Tidstabel[[#This Row],[LCC-Skæring]]=-1,SUM(Tidstabel[[#This Row],[År]]*(1-ABS(Tidstabel[[#This Row],[LCC-Difference]])/(ABS(Tidstabel[[#This Row],[LCC-Difference]])+ABS(U43))),A43*(1-ABS(U43)/(ABS(Tidstabel[[#This Row],[LCC-Difference]])+ABS(U43)))),"-"))</f>
        <v>-</v>
      </c>
      <c r="X42" s="174" t="str">
        <f ca="1">IF(Tidstabel[[#This Row],[År]]&gt;Input_Tidshorisont,BlankTegn,
IF(Tidstabel[[#This Row],[LCC-Skæring]]=-1,SUM(Tidstabel[[#This Row],[NPV_Klimafacade]]*(1-ABS(Tidstabel[[#This Row],[LCC-Difference]])/(ABS(Tidstabel[[#This Row],[LCC-Difference]])+ABS(U43))),AB43*(1-ABS(U43)/(ABS(Tidstabel[[#This Row],[LCC-Difference]])+ABS(U43)))),"-"))</f>
        <v>-</v>
      </c>
      <c r="Y42" s="174" t="str">
        <f ca="1">IF(Tidstabel[[#This Row],[År]]&gt;Input_Tidshorisont,BlankTegn,
IF(Tidstabel[[#This Row],[LCC-Skæring]]=1,SUM(Tidstabel[[#This Row],[År]]*(1-ABS(Tidstabel[[#This Row],[LCC-Difference]])/(ABS(Tidstabel[[#This Row],[LCC-Difference]])+ABS(U43))),A43*(1-ABS(U43)/(ABS(Tidstabel[[#This Row],[LCC-Difference]])+ABS(U43)))),"-"))</f>
        <v>-</v>
      </c>
      <c r="Z42" s="264" t="str">
        <f ca="1">IF(Tidstabel[[#This Row],[År]]&gt;Input_Tidshorisont,BlankTegn,
IF(Tidstabel[[#This Row],[LCC-Skæring]]=1,SUM(Tidstabel[[#This Row],[NPV_Klimafacade]]*(1-ABS(Tidstabel[[#This Row],[LCC-Difference]])/(ABS(Tidstabel[[#This Row],[LCC-Difference]])+ABS(U43))),AB43*(1-ABS(U43)/(ABS(Tidstabel[[#This Row],[LCC-Difference]])+ABS(U43)))),"-"))</f>
        <v>-</v>
      </c>
      <c r="AA42" s="142">
        <f ca="1">IF(Tidstabel[[#This Row],[År]]&gt;Input_Tidshorisont,BlankTegn,
Tidstabel[[#This Row],[EF_Vedligehold_Aggregeret]])</f>
        <v>-223.62099275281068</v>
      </c>
      <c r="AB42"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42" s="142" t="str">
        <f>IFERROR(IF(Tidstabel[[#This Row],[År]]&gt;Input_Tidshorisont,BlankTegn,
Tidstabel[[#This Row],[KF_Anskaffelse_Aggregeret]]+Tidstabel[[#This Row],[KF_Engangsudgifter_Aggregeret]]),BlankTegn)</f>
        <v>.</v>
      </c>
      <c r="AD42" s="174">
        <f ca="1">IFERROR(IF(Tidstabel[[#This Row],[År]]&gt;Input_Tidshorisont,BlankTegn,
IF(Tidstabel[[#This Row],[År]]=0,0,Tidstabel[[#This Row],[NPV_Eksisterende]]*(Tidstabel[[#This Row],[Kalkulationsrente]]/(1-(1+Tidstabel[[#This Row],[Kalkulationsrente]])^-Tidstabel[[#This Row],[År]])))),BlankTegn)</f>
        <v>-11.180680062786969</v>
      </c>
      <c r="AE42" s="264" t="str">
        <f ca="1">IFERROR(IF(Tidstabel[[#This Row],[År]]&gt;Input_Tidshorisont,BlankTegn,
IF(Tidstabel[[#This Row],[År]]=0,0,Tidstabel[[#This Row],[NPV_Klimafacade]]*(Tidstabel[[#This Row],[Kalkulationsrente]]/(1-(1+Tidstabel[[#This Row],[Kalkulationsrente]])^-Tidstabel[[#This Row],[År]])))),BlankTegn)</f>
        <v>.</v>
      </c>
      <c r="AF42" s="270">
        <f ca="1">IF(Tidstabel[[#This Row],[År]]&gt;Input_Tidshorisont,BlankTegn,
IF(EF_Vedligehold_i=1,IF(Tidstabel[[#This Row],[EF_Uds?]]=0,1,0),IF(MAX(AF41:OFFSET(AG41,2-EF_Vedligehold_i,0),Tidstabel[[#This Row],[EF_Uds?]])=0,1,0)))</f>
        <v>1</v>
      </c>
      <c r="AG42" s="181">
        <f>IF(Tidstabel[[#This Row],[År]]&gt;Input_Tidshorisont,BlankTegn,0)</f>
        <v>0</v>
      </c>
      <c r="AH42" s="263">
        <f ca="1">IF(Tidstabel[[#This Row],[År]]&gt;Input_Tidshorisont,BlankTegn,
Tidstabel[[#This Row],[EF_Ved?]]*EF_Vedligehold_p*-EF_Enhedspris*((1+Tidstabel[[#This Row],[Kalkulationsrente]])^-Tidstabel[[#This Row],[År]])*((1+PrisudviklingGenerelt)^Tidstabel[[#This Row],[År]]))</f>
        <v>-3.1942386623866246</v>
      </c>
      <c r="AI42" s="262">
        <f ca="1">IF(Tidstabel[[#This Row],[År]]&gt;Input_Tidshorisont,BlankTegn,
IF(Tidstabel[[#This Row],[År]]=0,Tidstabel[[#This Row],[EF_Vedligehold]],AI41+Tidstabel[[#This Row],[EF_Vedligehold]]))</f>
        <v>-223.62099275281068</v>
      </c>
      <c r="AJ42" s="245">
        <f>IFERROR(IF(Tidstabel[[#This Row],[År]]&gt;Input_Tidshorisont,BlankTegn,
Tidstabel[[#This Row],[FB_Anskaffelse]]+Tidstabel[[#This Row],[VS_Anskaffelse]]+Tidstabel[[#This Row],[EI_Anskaffelse]]+Tidstabel[[#This Row],[AP_Anskaffelse]]+Tidstabel[[#This Row],[SK_Anskaffelse]]),BlankTegn)</f>
        <v>0</v>
      </c>
      <c r="AK42" s="245" t="str">
        <f>IFERROR(IF(Tidstabel[[#This Row],[År]]&gt;Input_Tidshorisont,BlankTegn,
IF(Tidstabel[[#This Row],[År]]=0,Tidstabel[[#This Row],[KF_Anskaffelse]],AK41+Tidstabel[[#This Row],[KF_Anskaffelse]])),BlankTegn)</f>
        <v>.</v>
      </c>
      <c r="AL42" s="246" t="str">
        <f ca="1">IFERROR(IF(Tidstabel[[#This Row],[År]]&gt;Input_Tidshorisont,BlankTegn,
Tidstabel[[#This Row],[FB_Vedligehold]]+Tidstabel[[#This Row],[VS_Vedligehold]]+Tidstabel[[#This Row],[EI_Vedligehold]]+Tidstabel[[#This Row],[AP_Vedligehold]]+Tidstabel[[#This Row],[SK_Vedligehold]]),BlankTegn)</f>
        <v>.</v>
      </c>
      <c r="AM42" s="245" t="str">
        <f ca="1">IFERROR(IF(Tidstabel[[#This Row],[År]]&gt;Input_Tidshorisont,BlankTegn,
IF(Tidstabel[[#This Row],[År]]=0,Tidstabel[[#This Row],[KF_Vedligehold]],AM41+Tidstabel[[#This Row],[KF_Vedligehold]])),BlankTegn)</f>
        <v>.</v>
      </c>
      <c r="AN42"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42"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42" s="245" t="str">
        <f>IFERROR(IF(Tidstabel[[#This Row],[År]]&gt;Input_Tidshorisont,BlankTegn,
IF(Tidstabel[[#This Row],[År]]=0,Tidstabel[[#This Row],[KF_Udskiftning_Komponent]],AP41+Tidstabel[[#This Row],[KF_Udskiftning_Komponent]])),BlankTegn)</f>
        <v>.</v>
      </c>
      <c r="AQ42" s="245">
        <f>IF(Tidstabel[[#This Row],[År]]&gt;Input_Tidshorisont,BlankTegn,
IF(Tidstabel[[#This Row],[År]]=0,-SUM(Engangsudgifter[Udgift]),0))</f>
        <v>0</v>
      </c>
      <c r="AR42" s="245">
        <f>IFERROR(IF(Tidstabel[[#This Row],[År]]&gt;Input_Tidshorisont,BlankTegn,
IF(Tidstabel[[#This Row],[År]]=0,Tidstabel[[#This Row],[KF_Engangsudgifter]],AR41+Tidstabel[[#This Row],[KF_Engangsudgifter]])),BlankTegn)</f>
        <v>0</v>
      </c>
      <c r="AS42" s="315" t="str">
        <f>IFERROR(IF(Tidstabel[[#This Row],[År]]&gt;Input_Tidshorisont,BlankTegn,
-Energibesparelse_Årlig),BlankTegn)</f>
        <v>.</v>
      </c>
      <c r="AT42" s="245" t="str">
        <f>IFERROR(IF(Tidstabel[[#This Row],[År]]&gt;Input_Tidshorisont,BlankTegn,
IF(Tidstabel[[#This Row],[År]]=0,0,-Tidstabel[[#This Row],[KF_Energiforbrug]]*Input_Fjernvarmepris*((1+Tidstabel[[#This Row],[Kalkulationsrente]])^-Tidstabel[[#This Row],[År]])*((1+PrisudviklingFjernvarme)^Tidstabel[[#This Row],[År]]))),BlankTegn)</f>
        <v>.</v>
      </c>
      <c r="AU42" s="262" t="str">
        <f>IFERROR(IF(Tidstabel[[#This Row],[År]]&gt;Input_Tidshorisont,BlankTegn,
IF(Tidstabel[[#This Row],[År]]=0,Tidstabel[[#This Row],[KF_Forsyning]],AU41+Tidstabel[[#This Row],[KF_Forsyning]])),BlankTegn)</f>
        <v>.</v>
      </c>
      <c r="AV42" s="245">
        <f>IFERROR(IF(Tidstabel[[#This Row],[År]]&gt;Input_Tidshorisont,BlankTegn,
IF(Tidstabel[[#This Row],[År]]=0,-FB_Enhedspris,0)),BlankTegn)</f>
        <v>0</v>
      </c>
      <c r="AW42" s="245" t="str">
        <f>IFERROR(IF(Tidstabel[[#This Row],[År]]&gt;Input_Tidshorisont,BlankTegn,
IF(Tidstabel[[#This Row],[År]]=0,FB_Enhedspris/FB_Levetid,AW41*((1+Tidstabel[[#This Row],[Kalkulationsrente]])^-1)*((1+PrisudviklingGenerelt)^1))),BlankTegn)</f>
        <v>.</v>
      </c>
      <c r="AX42" s="178" t="str">
        <f ca="1">IFERROR(IF(Tidstabel[[#This Row],[År]]&gt;Input_Tidshorisont,BlankTegn,
IF(FB_Vedligehold_i=1,IF(Tidstabel[[#This Row],[FB_Uds?]]=0,1,0),IF(MAX(AX41:OFFSET(AY41,2-FB_Vedligehold_i,0),Tidstabel[[#This Row],[FB_Uds?]])=0,1,0))),BlankTegn)</f>
        <v>.</v>
      </c>
      <c r="AY42" s="178" t="str">
        <f>IFERROR(IF(Tidstabel[[#This Row],[År]]&gt;Input_Tidshorisont,BlankTegn,
IF(Tidstabel[[#This Row],[År]]=0,1,IF(MOD(Tidstabel[[#This Row],[År]],FB_Levetid)=0,1,IF(Tidstabel[[#This Row],[År]]=Input_Tidshorisont,0,0)))),BlankTegn)</f>
        <v>.</v>
      </c>
      <c r="AZ42" s="245" t="str">
        <f ca="1">IFERROR(IF(Tidstabel[[#This Row],[År]]&gt;Input_Tidshorisont,BlankTegn,
FB_Vedligehold_p*-FB_Enhedspris*Tidstabel[[#This Row],[FB_Ved?]]*((1+Tidstabel[[#This Row],[Kalkulationsrente]])^-Tidstabel[[#This Row],[År]])*((1+PrisudviklingGenerelt)^Tidstabel[[#This Row],[År]])),BlankTegn)</f>
        <v>.</v>
      </c>
      <c r="BA42" s="245" t="str">
        <f>IFERROR(IF(Tidstabel[[#This Row],[År]]&gt;Input_Tidshorisont,BlankTegn,
IF(Tidstabel[[#This Row],[År]]=0,FB_Enhedspris,SUM(BA41:BB41)*((1+Tidstabel[[#This Row],[Kalkulationsrente]])^-1)*((1+PrisudviklingGenerelt)^1)-Tidstabel[[#This Row],[FB_Afskrivning]])),BlankTegn)</f>
        <v>.</v>
      </c>
      <c r="BB42" s="245" t="str">
        <f>IFERROR(IF(Tidstabel[[#This Row],[År]]&gt;Input_Tidshorisont,BlankTegn,
IF(Tidstabel[[#This Row],[År]]=0,0,Tidstabel[[#This Row],[FB_Uds?]]*FB_Enhedspris*((1+Tidstabel[[#This Row],[Kalkulationsrente]])^-Tidstabel[[#This Row],[År]])*((1+PrisudviklingGenerelt)^Tidstabel[[#This Row],[År]]))),BlankTegn)</f>
        <v>.</v>
      </c>
      <c r="BC42" s="262" t="str">
        <f>IFERROR(IF(Tidstabel[[#This Row],[År]]&gt;Input_Tidshorisont,BlankTegn,
IF(Tidstabel[[#This Row],[År]]=0,0,Tidstabel[[#This Row],[FB_Uds?]]*-FB_Enhedspris*FB_Genoprettelse*((1+Tidstabel[[#This Row],[Kalkulationsrente]])^-Tidstabel[[#This Row],[År]])*((1+PrisudviklingGenerelt)^Tidstabel[[#This Row],[År]]))),BlankTegn)</f>
        <v>.</v>
      </c>
      <c r="BD42" s="245">
        <f>IFERROR(IF(Tidstabel[[#This Row],[År]]&gt;Input_Tidshorisont,BlankTegn,
IF(Tidstabel[[#This Row],[År]]=0,-VS_Enhedspris,0)),BlankTegn)</f>
        <v>0</v>
      </c>
      <c r="BE42" s="245" t="str">
        <f>IFERROR(IF(Tidstabel[[#This Row],[År]]&gt;Input_Tidshorisont,BlankTegn,
IF(Tidstabel[[#This Row],[År]]=0,VS_Enhedspris/VS_Levetid,BE41*((1+Tidstabel[[#This Row],[Kalkulationsrente]])^-1)*((1+PrisudviklingGenerelt)^1))),BlankTegn)</f>
        <v>.</v>
      </c>
      <c r="BF42" s="178" t="str">
        <f ca="1">IFERROR(IF(Tidstabel[[#This Row],[År]]&gt;Input_Tidshorisont,BlankTegn,
IF(VS_Vedligehold_i=1,IF(Tidstabel[[#This Row],[VS_Uds?]]=0,1,0),IF(MAX(BF41:OFFSET(BG41,2-VS_Vedligehold_i,0),Tidstabel[[#This Row],[VS_Uds?]])=0,1,0))),BlankTegn)</f>
        <v>.</v>
      </c>
      <c r="BG42" s="178" t="str">
        <f>IFERROR(IF(Tidstabel[[#This Row],[År]]&gt;Input_Tidshorisont,BlankTegn,
IF(Tidstabel[[#This Row],[År]]=0,1,IF(MOD(Tidstabel[[#This Row],[År]],VS_Levetid)=0,1,IF(Tidstabel[[#This Row],[År]]=Input_Tidshorisont,0,0)))),BlankTegn)</f>
        <v>.</v>
      </c>
      <c r="BH42" s="245" t="str">
        <f ca="1">IFERROR(IF(Tidstabel[[#This Row],[År]]&gt;Input_Tidshorisont,BlankTegn,
VS_Vedligehold_p*-VS_Enhedspris*Tidstabel[[#This Row],[VS_Ved?]]*((1+Tidstabel[[#This Row],[Kalkulationsrente]])^-Tidstabel[[#This Row],[År]])*((1+PrisudviklingGenerelt)^Tidstabel[[#This Row],[År]])),BlankTegn)</f>
        <v>.</v>
      </c>
      <c r="BI42" s="245" t="str">
        <f>IFERROR(IF(Tidstabel[[#This Row],[År]]&gt;Input_Tidshorisont,BlankTegn,
IF(Tidstabel[[#This Row],[År]]=0,VS_Enhedspris,SUM(BI41:BJ41)*((1+Tidstabel[[#This Row],[Kalkulationsrente]])^-1)*((1+PrisudviklingGenerelt)^1)-Tidstabel[[#This Row],[VS_Afskrivning]])),BlankTegn)</f>
        <v>.</v>
      </c>
      <c r="BJ42" s="245" t="str">
        <f>IFERROR(IF(Tidstabel[[#This Row],[År]]&gt;Input_Tidshorisont,BlankTegn,
IF(Tidstabel[[#This Row],[År]]=0,0,Tidstabel[[#This Row],[VS_Uds?]]*VS_Enhedspris*((1+Tidstabel[[#This Row],[Kalkulationsrente]])^-Tidstabel[[#This Row],[År]])*((1+PrisudviklingGenerelt)^Tidstabel[[#This Row],[År]]))),BlankTegn)</f>
        <v>.</v>
      </c>
      <c r="BK42" s="262" t="str">
        <f>IFERROR(IF(Tidstabel[[#This Row],[År]]&gt;Input_Tidshorisont,BlankTegn,
IF(Tidstabel[[#This Row],[År]]=0,0,Tidstabel[[#This Row],[VS_Uds?]]*-VS_Enhedspris*VS_Genoprettelse*((1+Tidstabel[[#This Row],[Kalkulationsrente]])^-Tidstabel[[#This Row],[År]])*((1+PrisudviklingGenerelt)^Tidstabel[[#This Row],[År]]))),BlankTegn)</f>
        <v>.</v>
      </c>
      <c r="BL42" s="245">
        <f>IFERROR(IF(Tidstabel[[#This Row],[År]]&gt;Input_Tidshorisont,BlankTegn,
IF(Tidstabel[[#This Row],[År]]=0,-EI_Enhedspris,0)),BlankTegn)</f>
        <v>0</v>
      </c>
      <c r="BM42" s="245" t="str">
        <f>IFERROR(IF(Tidstabel[[#This Row],[År]]&gt;Input_Tidshorisont,BlankTegn,
IF(Tidstabel[[#This Row],[År]]=0,EI_Enhedspris/EI_Levetid,BM41*((1+Tidstabel[[#This Row],[Kalkulationsrente]])^-1)*((1+PrisudviklingGenerelt)^1))),BlankTegn)</f>
        <v>.</v>
      </c>
      <c r="BN42" s="178" t="str">
        <f ca="1">IFERROR(IF(Tidstabel[[#This Row],[År]]&gt;Input_Tidshorisont,BlankTegn,
IF(EI_Vedligehold_i=1,IF(Tidstabel[[#This Row],[EI_Uds?]]=0,1,0),IF(MAX(BN41:OFFSET(BO41,2-EI_Vedligehold_i,0),Tidstabel[[#This Row],[EI_Uds?]])=0,1,0))),BlankTegn)</f>
        <v>.</v>
      </c>
      <c r="BO42" s="178" t="str">
        <f>IFERROR(IF(Tidstabel[[#This Row],[År]]&gt;Input_Tidshorisont,BlankTegn,
IF(Tidstabel[[#This Row],[År]]=0,1,IF(MOD(Tidstabel[[#This Row],[År]],EI_Levetid)=0,1,IF(Tidstabel[[#This Row],[År]]=Input_Tidshorisont,0,0)))),BlankTegn)</f>
        <v>.</v>
      </c>
      <c r="BP42" s="245" t="str">
        <f ca="1">IFERROR(IF(Tidstabel[[#This Row],[År]]&gt;Input_Tidshorisont,BlankTegn,
EI_Vedligehold_p*-EI_Enhedspris*Tidstabel[[#This Row],[EI_Ved?]]*((1+Tidstabel[[#This Row],[Kalkulationsrente]])^-Tidstabel[[#This Row],[År]])*((1+PrisudviklingGenerelt)^Tidstabel[[#This Row],[År]])),BlankTegn)</f>
        <v>.</v>
      </c>
      <c r="BQ42" s="245" t="str">
        <f>IFERROR(IF(Tidstabel[[#This Row],[År]]&gt;Input_Tidshorisont,BlankTegn,
IF(Tidstabel[[#This Row],[År]]=0,EI_Enhedspris,SUM(BQ41:BR41)*((1+Tidstabel[[#This Row],[Kalkulationsrente]])^-1)*((1+PrisudviklingGenerelt)^1)-Tidstabel[[#This Row],[EI_Afskrivning]])),BlankTegn)</f>
        <v>.</v>
      </c>
      <c r="BR42" s="245" t="str">
        <f>IFERROR(IF(Tidstabel[[#This Row],[År]]&gt;Input_Tidshorisont,BlankTegn,
IF(Tidstabel[[#This Row],[År]]=0,0,Tidstabel[[#This Row],[EI_Uds?]]*EI_Enhedspris*((1+Tidstabel[[#This Row],[Kalkulationsrente]])^-Tidstabel[[#This Row],[År]])*((1+PrisudviklingGenerelt)^Tidstabel[[#This Row],[År]]))),BlankTegn)</f>
        <v>.</v>
      </c>
      <c r="BS42" s="262" t="str">
        <f>IFERROR(IF(Tidstabel[[#This Row],[År]]&gt;Input_Tidshorisont,BlankTegn,
IF(Tidstabel[[#This Row],[År]]=0,0,Tidstabel[[#This Row],[EI_Uds?]]*-EI_Enhedspris*EI_Genoprettelse*((1+Tidstabel[[#This Row],[Kalkulationsrente]])^-Tidstabel[[#This Row],[År]])*((1+PrisudviklingGenerelt)^Tidstabel[[#This Row],[År]]))),BlankTegn)</f>
        <v>.</v>
      </c>
      <c r="BT42" s="245">
        <f>IFERROR(IF(Tidstabel[[#This Row],[År]]&gt;Input_Tidshorisont,BlankTegn,
IF(Tidstabel[[#This Row],[År]]=0,-AP_Enhedspris,0)),BlankTegn)</f>
        <v>0</v>
      </c>
      <c r="BU42" s="245" t="str">
        <f>IFERROR(IF(Tidstabel[[#This Row],[År]]&gt;Input_Tidshorisont,BlankTegn,
IF(Tidstabel[[#This Row],[År]]=0,AP_Enhedspris/AP_Levetid,BU41*((1+Tidstabel[[#This Row],[Kalkulationsrente]])^-1)*((1+PrisudviklingGenerelt)^1))),BlankTegn)</f>
        <v>.</v>
      </c>
      <c r="BV42" s="178" t="str">
        <f ca="1">IFERROR(IF(Tidstabel[[#This Row],[År]]&gt;Input_Tidshorisont,BlankTegn,
IF(AP_Vedligehold_i=1,IF(Tidstabel[[#This Row],[AP_Uds?]]=0,1,0),IF(MAX(BV41:OFFSET(BW41,2-AP_Vedligehold_i,0),Tidstabel[[#This Row],[AP_Uds?]])=0,1,0))),BlankTegn)</f>
        <v>.</v>
      </c>
      <c r="BW42" s="178" t="str">
        <f>IFERROR(IF(Tidstabel[[#This Row],[År]]&gt;Input_Tidshorisont,BlankTegn,
IF(Tidstabel[[#This Row],[År]]=0,1,IF(MOD(Tidstabel[[#This Row],[År]],AP_Levetid)=0,1,IF(Tidstabel[[#This Row],[År]]=Input_Tidshorisont,0,0)))),BlankTegn)</f>
        <v>.</v>
      </c>
      <c r="BX42" s="245" t="str">
        <f ca="1">IFERROR(IF(Tidstabel[[#This Row],[År]]&gt;Input_Tidshorisont,BlankTegn,
AP_Vedligehold_p*-AP_Enhedspris*Tidstabel[[#This Row],[AP_Ved?]]*((1+Tidstabel[[#This Row],[Kalkulationsrente]])^-Tidstabel[[#This Row],[År]])*((1+PrisudviklingGenerelt)^Tidstabel[[#This Row],[År]])),BlankTegn)</f>
        <v>.</v>
      </c>
      <c r="BY42" s="245" t="str">
        <f>IFERROR(IF(Tidstabel[[#This Row],[År]]&gt;Input_Tidshorisont,BlankTegn,
IF(Tidstabel[[#This Row],[År]]=0,AP_Enhedspris,SUM(BY41:BZ41)*((1+Tidstabel[[#This Row],[Kalkulationsrente]])^-1)*((1+PrisudviklingGenerelt)^1)-Tidstabel[[#This Row],[AP_Afskrivning]])),BlankTegn)</f>
        <v>.</v>
      </c>
      <c r="BZ42" s="245" t="str">
        <f>IFERROR(IF(Tidstabel[[#This Row],[År]]&gt;Input_Tidshorisont,BlankTegn,
IF(Tidstabel[[#This Row],[År]]=0,0,Tidstabel[[#This Row],[AP_Uds?]]*AP_Enhedspris*((1+Tidstabel[[#This Row],[Kalkulationsrente]])^-Tidstabel[[#This Row],[År]])*((1+PrisudviklingGenerelt)^Tidstabel[[#This Row],[År]]))),BlankTegn)</f>
        <v>.</v>
      </c>
      <c r="CA42" s="262" t="str">
        <f>IFERROR(IF(Tidstabel[[#This Row],[År]]&gt;Input_Tidshorisont,BlankTegn,
IF(Tidstabel[[#This Row],[År]]=0,0,Tidstabel[[#This Row],[AP_Uds?]]*-AP_Enhedspris*AP_Genoprettelse*((1+Tidstabel[[#This Row],[Kalkulationsrente]])^-Tidstabel[[#This Row],[År]])*((1+PrisudviklingGenerelt)^Tidstabel[[#This Row],[År]]))),BlankTegn)</f>
        <v>.</v>
      </c>
      <c r="CB42" s="245">
        <f>IFERROR(IF(Tidstabel[[#This Row],[År]]&gt;Input_Tidshorisont,BlankTegn,
IF(Tidstabel[[#This Row],[År]]=0,-SK_Enhedspris,0)),BlankTegn)</f>
        <v>0</v>
      </c>
      <c r="CC42" s="245" t="str">
        <f>IFERROR(IF(Tidstabel[[#This Row],[År]]&gt;Input_Tidshorisont,BlankTegn,
IF(Tidstabel[[#This Row],[År]]=0,SK_Enhedspris/SK_Levetid,CC41*((1+Tidstabel[[#This Row],[Kalkulationsrente]])^-1)*((1+PrisudviklingGenerelt)^1))),BlankTegn)</f>
        <v>.</v>
      </c>
      <c r="CD42" s="178" t="str">
        <f ca="1">IFERROR(IF(Tidstabel[[#This Row],[År]]&gt;Input_Tidshorisont,BlankTegn,
IF(SK_Vedligehold_i=1,IF(Tidstabel[[#This Row],[SK_Uds?]]=0,1,0),IF(MAX(CD41:OFFSET(CE41,2-SK_Vedligehold_i,0),Tidstabel[[#This Row],[SK_Uds?]])=0,1,0))),BlankTegn)</f>
        <v>.</v>
      </c>
      <c r="CE42" s="178" t="str">
        <f>IFERROR(IF(Tidstabel[[#This Row],[År]]&gt;Input_Tidshorisont,BlankTegn,
IF(Tidstabel[[#This Row],[År]]=0,1,IF(MOD(Tidstabel[[#This Row],[År]],SK_Levetid)=0,1,IF(Tidstabel[[#This Row],[År]]=Input_Tidshorisont,0,0)))),BlankTegn)</f>
        <v>.</v>
      </c>
      <c r="CF42" s="245" t="str">
        <f ca="1">IFERROR(IF(Tidstabel[[#This Row],[År]]&gt;Input_Tidshorisont,BlankTegn,
SK_Vedligehold_p*-SK_Enhedspris*Tidstabel[[#This Row],[SK_Ved?]]*((1+Tidstabel[[#This Row],[Kalkulationsrente]])^-Tidstabel[[#This Row],[År]])*((1+PrisudviklingGenerelt)^Tidstabel[[#This Row],[År]])),BlankTegn)</f>
        <v>.</v>
      </c>
      <c r="CG42" s="245" t="str">
        <f>IFERROR(IF(Tidstabel[[#This Row],[År]]&gt;Input_Tidshorisont,BlankTegn,
IF(Tidstabel[[#This Row],[År]]=0,SK_Enhedspris,SUM(CG41:CH41)*((1+Tidstabel[[#This Row],[Kalkulationsrente]])^-1)*((1+PrisudviklingGenerelt)^1)-Tidstabel[[#This Row],[SK_Afskrivning]])),BlankTegn)</f>
        <v>.</v>
      </c>
      <c r="CH42" s="245" t="str">
        <f>IFERROR(IF(Tidstabel[[#This Row],[År]]&gt;Input_Tidshorisont,BlankTegn,
IF(Tidstabel[[#This Row],[År]]=0,0,Tidstabel[[#This Row],[SK_Uds?]]*SK_Enhedspris*((1+Tidstabel[[#This Row],[Kalkulationsrente]])^-Tidstabel[[#This Row],[År]])*((1+PrisudviklingGenerelt)^Tidstabel[[#This Row],[År]]))),BlankTegn)</f>
        <v>.</v>
      </c>
      <c r="CI42" s="262" t="str">
        <f>IFERROR(IF(Tidstabel[[#This Row],[År]]&gt;Input_Tidshorisont,BlankTegn,
IF(Tidstabel[[#This Row],[År]]=0,0,Tidstabel[[#This Row],[SK_Uds?]]*-SK_Enhedspris*SK_Genoprettelse*((1+Tidstabel[[#This Row],[Kalkulationsrente]])^-Tidstabel[[#This Row],[År]])*((1+PrisudviklingGenerelt)^Tidstabel[[#This Row],[År]]))),BlankTegn)</f>
        <v>.</v>
      </c>
      <c r="CJ42" s="19"/>
    </row>
    <row r="43" spans="1:88">
      <c r="A43" s="250">
        <v>36</v>
      </c>
      <c r="B43" s="250">
        <f>Input_Etableringsår+Tidstabel[[#This Row],[År]]</f>
        <v>2060</v>
      </c>
      <c r="C43" s="274" cm="1">
        <f t="array" ref="C43">_xlfn.IFS(Tidstabel[[#This Row],[År]]&gt;KR_Trin3_Tærskel,KR_Trin3_Rente,Tidstabel[[#This Row],[År]]&gt;KR_Trin2_Tærskel,KR_Trin2_Rente,Tidstabel[[#This Row],[År]]&gt;KR_Trin1_Tærskel,KR_Trin1_Rente,Tidstabel[[#This Row],[År]]&gt;KR_Trin0_Tærskel,KR_Trin0_Rente)</f>
        <v>2.5000000000000001E-2</v>
      </c>
      <c r="D43" s="142" t="str" cm="1">
        <f t="array" ref="D43">IFERROR(
INDEX(Range_Materiale_ÅrligeEmissioner,MATCH(1,(Materialedata[Komponent]=FB_Titel)*(Materialedata[Materiale]=FB_Materiale),0),MATCH(Tidstabel[[#This Row],[År]],Range_Materiale_År,0)),BlankTegn)</f>
        <v>.</v>
      </c>
      <c r="E43" s="142" t="str" cm="1">
        <f t="array" ref="E43">IFERROR(
INDEX(Range_Materiale_ÅrligeEmissioner,MATCH(1,(Materialedata[Komponent]=SK_Titel)*(Materialedata[Materiale]=SK_Materiale),0),MATCH(Tidstabel[[#This Row],[År]],Range_Materiale_År,0)),BlankTegn)</f>
        <v>.</v>
      </c>
      <c r="F43" s="142" t="str" cm="1">
        <f t="array" ref="F43">IFERROR(
INDEX(Range_Materiale_ÅrligeEmissioner,MATCH(1,(Materialedata[Komponent]=EI_Titel)*(Materialedata[Materiale]=EI_Materiale),0),MATCH(Tidstabel[[#This Row],[År]],Range_Materiale_År,0)),BlankTegn)</f>
        <v>.</v>
      </c>
      <c r="G43" s="142" t="str" cm="1">
        <f t="array" ref="G43">IFERROR(
INDEX(Range_Materiale_ÅrligeEmissioner,MATCH(1,(Materialedata[Komponent]=AP_Titel)*(Materialedata[Materiale]=AP_Materiale),0),MATCH(Tidstabel[[#This Row],[År]],Range_Materiale_År,0)),BlankTegn)</f>
        <v>.</v>
      </c>
      <c r="H43" s="142" t="str" cm="1">
        <f t="array" ref="H43">IFERROR(
INDEX(Range_Materiale_ÅrligeEmissioner,MATCH(1,(Materialedata[Komponent]=VS_Titel)*(Materialedata[Materiale]=VS_Materiale),0),MATCH(Tidstabel[[#This Row],[År]],Range_Materiale_År,0)),BlankTegn)</f>
        <v>.</v>
      </c>
      <c r="I43" s="142" t="str">
        <f>IFERROR(
IF(SUM(Tidstabel[[#This Row],[Facadebeklædning]:[Vindspærre]])=0,BlankTegn,
SUM(Tidstabel[[#This Row],[Facadebeklædning]:[Vindspærre]])),BlankTegn)</f>
        <v>.</v>
      </c>
      <c r="J43" s="139">
        <f>IF(Tidstabel[[#This Row],[År]]&gt;Input_Tidshorisont,BlankTegn,
A5_ElVarmeBrændstofByggeplads)</f>
        <v>0.25</v>
      </c>
      <c r="K43" s="142" t="str">
        <f>IFERROR(IF(Tidstabel[[#This Row],[År]]&gt;Input_Tidshorisont,BlankTegn,
-1*INDEX(Range_Energi_ÅrligBesparelse,MATCH(Input_EksisterendeFacade,Energiberegning[Ydervæg],0),MATCH(Tidstabel[[#This Row],[Årstal]],Range_Energi_Årstal,0))),BlankTegn)</f>
        <v>.</v>
      </c>
      <c r="L43" s="142">
        <f>IF(Tidstabel[[#This Row],[År]]&gt;Input_Tidshorisont,BlankTegn,
(Tidstabel[[#This Row],[År]]+1)*(SUM(Vedligeholdelsesmaterialer[Facadefarve],Vedligeholdelsesmaterialer[Grunder og mellemmaling])/12+SUM(Vedligeholdelsesmaterialer[Puds])/30))</f>
        <v>12.019608575833333</v>
      </c>
      <c r="M43" s="142" t="str">
        <f>IFERROR(IF(Tidstabel[[#This Row],[År]]&gt;Input_Tidshorisont,BlankTegn,
Tidstabel[[#This Row],[Materialer_Total]]+Tidstabel[[#This Row],[Byggeprocess]]),BlankTegn)</f>
        <v>.</v>
      </c>
      <c r="N43" s="142" t="str">
        <f>IFERROR(IF(Tidstabel[[#This Row],[År]]&gt;Input_Tidshorisont,BlankTegn,
Tidstabel[[#This Row],[Energibesparelse]]+Tidstabel[[#This Row],[Emission_Brutto]]),BlankTegn)</f>
        <v>.</v>
      </c>
      <c r="O43" s="142" t="str">
        <f>IFERROR(IF(Tidstabel[[#This Row],[År]]&gt;Input_Tidshorisont,BlankTegn,
Tidstabel[[#This Row],[Emission_Netto]]-Tidstabel[[#This Row],[Vedligehold_EksisterendeFacade]]),BlankTegn)</f>
        <v>.</v>
      </c>
      <c r="P43" s="271" t="str">
        <f>IFERROR(IF(Tidstabel[[#This Row],[År]]&gt;Input_Tidshorisont,BlankTegn,
IF(AND(Tidstabel[[#This Row],[Emission_Netto]]-Tidstabel[[#This Row],[Vedligehold_EksisterendeFacade]]&gt;0,N44-L44&lt;0),-1,IF(AND(Tidstabel[[#This Row],[Emission_Netto]]-Tidstabel[[#This Row],[Vedligehold_EksisterendeFacade]]&lt;0,N44-L44&gt;0),1,0))),BlankTegn)</f>
        <v>.</v>
      </c>
      <c r="Q43" s="174" t="str">
        <f>IF(Tidstabel[[#This Row],[År]]&gt;Input_Tidshorisont,BlankTegn,
IF(Tidstabel[[#This Row],[LCA-Skæring]]=-1,SUM(Tidstabel[[#This Row],[År]]*(1-ABS(Tidstabel[[#This Row],[LCA-Difference]])/(ABS(Tidstabel[[#This Row],[LCA-Difference]])+ABS(O44))),A44*(1-ABS(O44)/(ABS(Tidstabel[[#This Row],[LCA-Difference]])+ABS(O44)))),"-"))</f>
        <v>-</v>
      </c>
      <c r="R43" s="174" t="str">
        <f>IF(Tidstabel[[#This Row],[År]]&gt;Input_Tidshorisont,BlankTegn,
IF(Tidstabel[[#This Row],[LCA-Skæring]]=-1,SUM(Tidstabel[[#This Row],[Emission_Netto]]*(1-ABS(Tidstabel[[#This Row],[LCA-Difference]])/(ABS(Tidstabel[[#This Row],[LCA-Difference]])+ABS(O44))),N44*(1-ABS(O44)/(ABS(Tidstabel[[#This Row],[LCA-Difference]])+ABS(O44)))),"-"))</f>
        <v>-</v>
      </c>
      <c r="S43" s="174" t="str">
        <f>IF(Tidstabel[[#This Row],[År]]&gt;Input_Tidshorisont,BlankTegn,
IF(Tidstabel[[#This Row],[LCA-Skæring]]=1,SUM(Tidstabel[[#This Row],[År]]*(1-ABS(Tidstabel[[#This Row],[LCA-Difference]])/(ABS(Tidstabel[[#This Row],[LCA-Difference]])+ABS(O44))),A44*(1-ABS(O44)/(ABS(Tidstabel[[#This Row],[LCA-Difference]])+ABS(O44)))),"-"))</f>
        <v>-</v>
      </c>
      <c r="T43" s="264" t="str">
        <f>IF(Tidstabel[[#This Row],[År]]&gt;Input_Tidshorisont,BlankTegn,
IF(Tidstabel[[#This Row],[LCA-Skæring]]=1,SUM(Tidstabel[[#This Row],[Emission_Netto]]*(1-ABS(Tidstabel[[#This Row],[LCA-Difference]])/(ABS(Tidstabel[[#This Row],[LCA-Difference]])+ABS(O44))),N44*(1-ABS(O44)/(ABS(Tidstabel[[#This Row],[LCA-Difference]])+ABS(O44)))),"-"))</f>
        <v>-</v>
      </c>
      <c r="U43" s="142" t="str">
        <f ca="1">IFERROR(IF(Tidstabel[[#This Row],[År]]&gt;Input_Tidshorisont,BlankTegn,
Tidstabel[[#This Row],[NPV_Klimafacade]]-Tidstabel[[#This Row],[NPV_Eksisterende]]),BlankTegn)</f>
        <v>.</v>
      </c>
      <c r="V43" s="271" t="str">
        <f ca="1">IFERROR(IF(Tidstabel[[#This Row],[År]]&gt;Input_Tidshorisont,BlankTegn,
IF(AND(Tidstabel[[#This Row],[NPV_Klimafacade]]-Tidstabel[[#This Row],[NPV_Eksisterende]]&gt;0,AB44-AA44&lt;0),1,IF(AND(Tidstabel[[#This Row],[NPV_Klimafacade]]-Tidstabel[[#This Row],[NPV_Eksisterende]]&lt;0,AB44-AA44&gt;0),-1,0))),BlankTegn)</f>
        <v>.</v>
      </c>
      <c r="W43" s="174" t="str">
        <f ca="1">IF(Tidstabel[[#This Row],[År]]&gt;Input_Tidshorisont,BlankTegn,
IF(Tidstabel[[#This Row],[LCC-Skæring]]=-1,SUM(Tidstabel[[#This Row],[År]]*(1-ABS(Tidstabel[[#This Row],[LCC-Difference]])/(ABS(Tidstabel[[#This Row],[LCC-Difference]])+ABS(U44))),A44*(1-ABS(U44)/(ABS(Tidstabel[[#This Row],[LCC-Difference]])+ABS(U44)))),"-"))</f>
        <v>-</v>
      </c>
      <c r="X43" s="174" t="str">
        <f ca="1">IF(Tidstabel[[#This Row],[År]]&gt;Input_Tidshorisont,BlankTegn,
IF(Tidstabel[[#This Row],[LCC-Skæring]]=-1,SUM(Tidstabel[[#This Row],[NPV_Klimafacade]]*(1-ABS(Tidstabel[[#This Row],[LCC-Difference]])/(ABS(Tidstabel[[#This Row],[LCC-Difference]])+ABS(U44))),AB44*(1-ABS(U44)/(ABS(Tidstabel[[#This Row],[LCC-Difference]])+ABS(U44)))),"-"))</f>
        <v>-</v>
      </c>
      <c r="Y43" s="174" t="str">
        <f ca="1">IF(Tidstabel[[#This Row],[År]]&gt;Input_Tidshorisont,BlankTegn,
IF(Tidstabel[[#This Row],[LCC-Skæring]]=1,SUM(Tidstabel[[#This Row],[År]]*(1-ABS(Tidstabel[[#This Row],[LCC-Difference]])/(ABS(Tidstabel[[#This Row],[LCC-Difference]])+ABS(U44))),A44*(1-ABS(U44)/(ABS(Tidstabel[[#This Row],[LCC-Difference]])+ABS(U44)))),"-"))</f>
        <v>-</v>
      </c>
      <c r="Z43" s="264" t="str">
        <f ca="1">IF(Tidstabel[[#This Row],[År]]&gt;Input_Tidshorisont,BlankTegn,
IF(Tidstabel[[#This Row],[LCC-Skæring]]=1,SUM(Tidstabel[[#This Row],[NPV_Klimafacade]]*(1-ABS(Tidstabel[[#This Row],[LCC-Difference]])/(ABS(Tidstabel[[#This Row],[LCC-Difference]])+ABS(U44))),AB44*(1-ABS(U44)/(ABS(Tidstabel[[#This Row],[LCC-Difference]])+ABS(U44)))),"-"))</f>
        <v>-</v>
      </c>
      <c r="AA43" s="142">
        <f ca="1">IF(Tidstabel[[#This Row],[År]]&gt;Input_Tidshorisont,BlankTegn,
Tidstabel[[#This Row],[EF_Vedligehold_Aggregeret]])</f>
        <v>-227.99843525812449</v>
      </c>
      <c r="AB43"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43" s="142" t="str">
        <f>IFERROR(IF(Tidstabel[[#This Row],[År]]&gt;Input_Tidshorisont,BlankTegn,
Tidstabel[[#This Row],[KF_Anskaffelse_Aggregeret]]+Tidstabel[[#This Row],[KF_Engangsudgifter_Aggregeret]]),BlankTegn)</f>
        <v>.</v>
      </c>
      <c r="AD43" s="174">
        <f ca="1">IFERROR(IF(Tidstabel[[#This Row],[År]]&gt;Input_Tidshorisont,BlankTegn,
IF(Tidstabel[[#This Row],[År]]=0,0,Tidstabel[[#This Row],[NPV_Eksisterende]]*(Tidstabel[[#This Row],[Kalkulationsrente]]/(1-(1+Tidstabel[[#This Row],[Kalkulationsrente]])^-Tidstabel[[#This Row],[År]])))),BlankTegn)</f>
        <v>-9.6788930717542279</v>
      </c>
      <c r="AE43" s="264" t="str">
        <f ca="1">IFERROR(IF(Tidstabel[[#This Row],[År]]&gt;Input_Tidshorisont,BlankTegn,
IF(Tidstabel[[#This Row],[År]]=0,0,Tidstabel[[#This Row],[NPV_Klimafacade]]*(Tidstabel[[#This Row],[Kalkulationsrente]]/(1-(1+Tidstabel[[#This Row],[Kalkulationsrente]])^-Tidstabel[[#This Row],[År]])))),BlankTegn)</f>
        <v>.</v>
      </c>
      <c r="AF43" s="270">
        <f ca="1">IF(Tidstabel[[#This Row],[År]]&gt;Input_Tidshorisont,BlankTegn,
IF(EF_Vedligehold_i=1,IF(Tidstabel[[#This Row],[EF_Uds?]]=0,1,0),IF(MAX(AF42:OFFSET(AG42,2-EF_Vedligehold_i,0),Tidstabel[[#This Row],[EF_Uds?]])=0,1,0)))</f>
        <v>1</v>
      </c>
      <c r="AG43" s="181">
        <f>IF(Tidstabel[[#This Row],[År]]&gt;Input_Tidshorisont,BlankTegn,0)</f>
        <v>0</v>
      </c>
      <c r="AH43" s="263">
        <f ca="1">IF(Tidstabel[[#This Row],[År]]&gt;Input_Tidshorisont,BlankTegn,
Tidstabel[[#This Row],[EF_Ved?]]*EF_Vedligehold_p*-EF_Enhedspris*((1+Tidstabel[[#This Row],[Kalkulationsrente]])^-Tidstabel[[#This Row],[År]])*((1+PrisudviklingGenerelt)^Tidstabel[[#This Row],[År]]))</f>
        <v>-4.377442505313808</v>
      </c>
      <c r="AI43" s="262">
        <f ca="1">IF(Tidstabel[[#This Row],[År]]&gt;Input_Tidshorisont,BlankTegn,
IF(Tidstabel[[#This Row],[År]]=0,Tidstabel[[#This Row],[EF_Vedligehold]],AI42+Tidstabel[[#This Row],[EF_Vedligehold]]))</f>
        <v>-227.99843525812449</v>
      </c>
      <c r="AJ43" s="245">
        <f>IFERROR(IF(Tidstabel[[#This Row],[År]]&gt;Input_Tidshorisont,BlankTegn,
Tidstabel[[#This Row],[FB_Anskaffelse]]+Tidstabel[[#This Row],[VS_Anskaffelse]]+Tidstabel[[#This Row],[EI_Anskaffelse]]+Tidstabel[[#This Row],[AP_Anskaffelse]]+Tidstabel[[#This Row],[SK_Anskaffelse]]),BlankTegn)</f>
        <v>0</v>
      </c>
      <c r="AK43" s="245" t="str">
        <f>IFERROR(IF(Tidstabel[[#This Row],[År]]&gt;Input_Tidshorisont,BlankTegn,
IF(Tidstabel[[#This Row],[År]]=0,Tidstabel[[#This Row],[KF_Anskaffelse]],AK42+Tidstabel[[#This Row],[KF_Anskaffelse]])),BlankTegn)</f>
        <v>.</v>
      </c>
      <c r="AL43" s="246" t="str">
        <f ca="1">IFERROR(IF(Tidstabel[[#This Row],[År]]&gt;Input_Tidshorisont,BlankTegn,
Tidstabel[[#This Row],[FB_Vedligehold]]+Tidstabel[[#This Row],[VS_Vedligehold]]+Tidstabel[[#This Row],[EI_Vedligehold]]+Tidstabel[[#This Row],[AP_Vedligehold]]+Tidstabel[[#This Row],[SK_Vedligehold]]),BlankTegn)</f>
        <v>.</v>
      </c>
      <c r="AM43" s="245" t="str">
        <f ca="1">IFERROR(IF(Tidstabel[[#This Row],[År]]&gt;Input_Tidshorisont,BlankTegn,
IF(Tidstabel[[#This Row],[År]]=0,Tidstabel[[#This Row],[KF_Vedligehold]],AM42+Tidstabel[[#This Row],[KF_Vedligehold]])),BlankTegn)</f>
        <v>.</v>
      </c>
      <c r="AN43"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43"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43" s="245" t="str">
        <f>IFERROR(IF(Tidstabel[[#This Row],[År]]&gt;Input_Tidshorisont,BlankTegn,
IF(Tidstabel[[#This Row],[År]]=0,Tidstabel[[#This Row],[KF_Udskiftning_Komponent]],AP42+Tidstabel[[#This Row],[KF_Udskiftning_Komponent]])),BlankTegn)</f>
        <v>.</v>
      </c>
      <c r="AQ43" s="245">
        <f>IF(Tidstabel[[#This Row],[År]]&gt;Input_Tidshorisont,BlankTegn,
IF(Tidstabel[[#This Row],[År]]=0,-SUM(Engangsudgifter[Udgift]),0))</f>
        <v>0</v>
      </c>
      <c r="AR43" s="245">
        <f>IFERROR(IF(Tidstabel[[#This Row],[År]]&gt;Input_Tidshorisont,BlankTegn,
IF(Tidstabel[[#This Row],[År]]=0,Tidstabel[[#This Row],[KF_Engangsudgifter]],AR42+Tidstabel[[#This Row],[KF_Engangsudgifter]])),BlankTegn)</f>
        <v>0</v>
      </c>
      <c r="AS43" s="315" t="str">
        <f>IFERROR(IF(Tidstabel[[#This Row],[År]]&gt;Input_Tidshorisont,BlankTegn,
-Energibesparelse_Årlig),BlankTegn)</f>
        <v>.</v>
      </c>
      <c r="AT43" s="245" t="str">
        <f>IFERROR(IF(Tidstabel[[#This Row],[År]]&gt;Input_Tidshorisont,BlankTegn,
IF(Tidstabel[[#This Row],[År]]=0,0,-Tidstabel[[#This Row],[KF_Energiforbrug]]*Input_Fjernvarmepris*((1+Tidstabel[[#This Row],[Kalkulationsrente]])^-Tidstabel[[#This Row],[År]])*((1+PrisudviklingFjernvarme)^Tidstabel[[#This Row],[År]]))),BlankTegn)</f>
        <v>.</v>
      </c>
      <c r="AU43" s="262" t="str">
        <f>IFERROR(IF(Tidstabel[[#This Row],[År]]&gt;Input_Tidshorisont,BlankTegn,
IF(Tidstabel[[#This Row],[År]]=0,Tidstabel[[#This Row],[KF_Forsyning]],AU42+Tidstabel[[#This Row],[KF_Forsyning]])),BlankTegn)</f>
        <v>.</v>
      </c>
      <c r="AV43" s="245">
        <f>IFERROR(IF(Tidstabel[[#This Row],[År]]&gt;Input_Tidshorisont,BlankTegn,
IF(Tidstabel[[#This Row],[År]]=0,-FB_Enhedspris,0)),BlankTegn)</f>
        <v>0</v>
      </c>
      <c r="AW43" s="245" t="str">
        <f>IFERROR(IF(Tidstabel[[#This Row],[År]]&gt;Input_Tidshorisont,BlankTegn,
IF(Tidstabel[[#This Row],[År]]=0,FB_Enhedspris/FB_Levetid,AW42*((1+Tidstabel[[#This Row],[Kalkulationsrente]])^-1)*((1+PrisudviklingGenerelt)^1))),BlankTegn)</f>
        <v>.</v>
      </c>
      <c r="AX43" s="178" t="str">
        <f ca="1">IFERROR(IF(Tidstabel[[#This Row],[År]]&gt;Input_Tidshorisont,BlankTegn,
IF(FB_Vedligehold_i=1,IF(Tidstabel[[#This Row],[FB_Uds?]]=0,1,0),IF(MAX(AX42:OFFSET(AY42,2-FB_Vedligehold_i,0),Tidstabel[[#This Row],[FB_Uds?]])=0,1,0))),BlankTegn)</f>
        <v>.</v>
      </c>
      <c r="AY43" s="178" t="str">
        <f>IFERROR(IF(Tidstabel[[#This Row],[År]]&gt;Input_Tidshorisont,BlankTegn,
IF(Tidstabel[[#This Row],[År]]=0,1,IF(MOD(Tidstabel[[#This Row],[År]],FB_Levetid)=0,1,IF(Tidstabel[[#This Row],[År]]=Input_Tidshorisont,0,0)))),BlankTegn)</f>
        <v>.</v>
      </c>
      <c r="AZ43" s="245" t="str">
        <f ca="1">IFERROR(IF(Tidstabel[[#This Row],[År]]&gt;Input_Tidshorisont,BlankTegn,
FB_Vedligehold_p*-FB_Enhedspris*Tidstabel[[#This Row],[FB_Ved?]]*((1+Tidstabel[[#This Row],[Kalkulationsrente]])^-Tidstabel[[#This Row],[År]])*((1+PrisudviklingGenerelt)^Tidstabel[[#This Row],[År]])),BlankTegn)</f>
        <v>.</v>
      </c>
      <c r="BA43" s="245" t="str">
        <f>IFERROR(IF(Tidstabel[[#This Row],[År]]&gt;Input_Tidshorisont,BlankTegn,
IF(Tidstabel[[#This Row],[År]]=0,FB_Enhedspris,SUM(BA42:BB42)*((1+Tidstabel[[#This Row],[Kalkulationsrente]])^-1)*((1+PrisudviklingGenerelt)^1)-Tidstabel[[#This Row],[FB_Afskrivning]])),BlankTegn)</f>
        <v>.</v>
      </c>
      <c r="BB43" s="245" t="str">
        <f>IFERROR(IF(Tidstabel[[#This Row],[År]]&gt;Input_Tidshorisont,BlankTegn,
IF(Tidstabel[[#This Row],[År]]=0,0,Tidstabel[[#This Row],[FB_Uds?]]*FB_Enhedspris*((1+Tidstabel[[#This Row],[Kalkulationsrente]])^-Tidstabel[[#This Row],[År]])*((1+PrisudviklingGenerelt)^Tidstabel[[#This Row],[År]]))),BlankTegn)</f>
        <v>.</v>
      </c>
      <c r="BC43" s="262" t="str">
        <f>IFERROR(IF(Tidstabel[[#This Row],[År]]&gt;Input_Tidshorisont,BlankTegn,
IF(Tidstabel[[#This Row],[År]]=0,0,Tidstabel[[#This Row],[FB_Uds?]]*-FB_Enhedspris*FB_Genoprettelse*((1+Tidstabel[[#This Row],[Kalkulationsrente]])^-Tidstabel[[#This Row],[År]])*((1+PrisudviklingGenerelt)^Tidstabel[[#This Row],[År]]))),BlankTegn)</f>
        <v>.</v>
      </c>
      <c r="BD43" s="245">
        <f>IFERROR(IF(Tidstabel[[#This Row],[År]]&gt;Input_Tidshorisont,BlankTegn,
IF(Tidstabel[[#This Row],[År]]=0,-VS_Enhedspris,0)),BlankTegn)</f>
        <v>0</v>
      </c>
      <c r="BE43" s="245" t="str">
        <f>IFERROR(IF(Tidstabel[[#This Row],[År]]&gt;Input_Tidshorisont,BlankTegn,
IF(Tidstabel[[#This Row],[År]]=0,VS_Enhedspris/VS_Levetid,BE42*((1+Tidstabel[[#This Row],[Kalkulationsrente]])^-1)*((1+PrisudviklingGenerelt)^1))),BlankTegn)</f>
        <v>.</v>
      </c>
      <c r="BF43" s="178" t="str">
        <f ca="1">IFERROR(IF(Tidstabel[[#This Row],[År]]&gt;Input_Tidshorisont,BlankTegn,
IF(VS_Vedligehold_i=1,IF(Tidstabel[[#This Row],[VS_Uds?]]=0,1,0),IF(MAX(BF42:OFFSET(BG42,2-VS_Vedligehold_i,0),Tidstabel[[#This Row],[VS_Uds?]])=0,1,0))),BlankTegn)</f>
        <v>.</v>
      </c>
      <c r="BG43" s="178" t="str">
        <f>IFERROR(IF(Tidstabel[[#This Row],[År]]&gt;Input_Tidshorisont,BlankTegn,
IF(Tidstabel[[#This Row],[År]]=0,1,IF(MOD(Tidstabel[[#This Row],[År]],VS_Levetid)=0,1,IF(Tidstabel[[#This Row],[År]]=Input_Tidshorisont,0,0)))),BlankTegn)</f>
        <v>.</v>
      </c>
      <c r="BH43" s="245" t="str">
        <f ca="1">IFERROR(IF(Tidstabel[[#This Row],[År]]&gt;Input_Tidshorisont,BlankTegn,
VS_Vedligehold_p*-VS_Enhedspris*Tidstabel[[#This Row],[VS_Ved?]]*((1+Tidstabel[[#This Row],[Kalkulationsrente]])^-Tidstabel[[#This Row],[År]])*((1+PrisudviklingGenerelt)^Tidstabel[[#This Row],[År]])),BlankTegn)</f>
        <v>.</v>
      </c>
      <c r="BI43" s="245" t="str">
        <f>IFERROR(IF(Tidstabel[[#This Row],[År]]&gt;Input_Tidshorisont,BlankTegn,
IF(Tidstabel[[#This Row],[År]]=0,VS_Enhedspris,SUM(BI42:BJ42)*((1+Tidstabel[[#This Row],[Kalkulationsrente]])^-1)*((1+PrisudviklingGenerelt)^1)-Tidstabel[[#This Row],[VS_Afskrivning]])),BlankTegn)</f>
        <v>.</v>
      </c>
      <c r="BJ43" s="245" t="str">
        <f>IFERROR(IF(Tidstabel[[#This Row],[År]]&gt;Input_Tidshorisont,BlankTegn,
IF(Tidstabel[[#This Row],[År]]=0,0,Tidstabel[[#This Row],[VS_Uds?]]*VS_Enhedspris*((1+Tidstabel[[#This Row],[Kalkulationsrente]])^-Tidstabel[[#This Row],[År]])*((1+PrisudviklingGenerelt)^Tidstabel[[#This Row],[År]]))),BlankTegn)</f>
        <v>.</v>
      </c>
      <c r="BK43" s="262" t="str">
        <f>IFERROR(IF(Tidstabel[[#This Row],[År]]&gt;Input_Tidshorisont,BlankTegn,
IF(Tidstabel[[#This Row],[År]]=0,0,Tidstabel[[#This Row],[VS_Uds?]]*-VS_Enhedspris*VS_Genoprettelse*((1+Tidstabel[[#This Row],[Kalkulationsrente]])^-Tidstabel[[#This Row],[År]])*((1+PrisudviklingGenerelt)^Tidstabel[[#This Row],[År]]))),BlankTegn)</f>
        <v>.</v>
      </c>
      <c r="BL43" s="245">
        <f>IFERROR(IF(Tidstabel[[#This Row],[År]]&gt;Input_Tidshorisont,BlankTegn,
IF(Tidstabel[[#This Row],[År]]=0,-EI_Enhedspris,0)),BlankTegn)</f>
        <v>0</v>
      </c>
      <c r="BM43" s="245" t="str">
        <f>IFERROR(IF(Tidstabel[[#This Row],[År]]&gt;Input_Tidshorisont,BlankTegn,
IF(Tidstabel[[#This Row],[År]]=0,EI_Enhedspris/EI_Levetid,BM42*((1+Tidstabel[[#This Row],[Kalkulationsrente]])^-1)*((1+PrisudviklingGenerelt)^1))),BlankTegn)</f>
        <v>.</v>
      </c>
      <c r="BN43" s="178" t="str">
        <f ca="1">IFERROR(IF(Tidstabel[[#This Row],[År]]&gt;Input_Tidshorisont,BlankTegn,
IF(EI_Vedligehold_i=1,IF(Tidstabel[[#This Row],[EI_Uds?]]=0,1,0),IF(MAX(BN42:OFFSET(BO42,2-EI_Vedligehold_i,0),Tidstabel[[#This Row],[EI_Uds?]])=0,1,0))),BlankTegn)</f>
        <v>.</v>
      </c>
      <c r="BO43" s="178" t="str">
        <f>IFERROR(IF(Tidstabel[[#This Row],[År]]&gt;Input_Tidshorisont,BlankTegn,
IF(Tidstabel[[#This Row],[År]]=0,1,IF(MOD(Tidstabel[[#This Row],[År]],EI_Levetid)=0,1,IF(Tidstabel[[#This Row],[År]]=Input_Tidshorisont,0,0)))),BlankTegn)</f>
        <v>.</v>
      </c>
      <c r="BP43" s="245" t="str">
        <f ca="1">IFERROR(IF(Tidstabel[[#This Row],[År]]&gt;Input_Tidshorisont,BlankTegn,
EI_Vedligehold_p*-EI_Enhedspris*Tidstabel[[#This Row],[EI_Ved?]]*((1+Tidstabel[[#This Row],[Kalkulationsrente]])^-Tidstabel[[#This Row],[År]])*((1+PrisudviklingGenerelt)^Tidstabel[[#This Row],[År]])),BlankTegn)</f>
        <v>.</v>
      </c>
      <c r="BQ43" s="245" t="str">
        <f>IFERROR(IF(Tidstabel[[#This Row],[År]]&gt;Input_Tidshorisont,BlankTegn,
IF(Tidstabel[[#This Row],[År]]=0,EI_Enhedspris,SUM(BQ42:BR42)*((1+Tidstabel[[#This Row],[Kalkulationsrente]])^-1)*((1+PrisudviklingGenerelt)^1)-Tidstabel[[#This Row],[EI_Afskrivning]])),BlankTegn)</f>
        <v>.</v>
      </c>
      <c r="BR43" s="245" t="str">
        <f>IFERROR(IF(Tidstabel[[#This Row],[År]]&gt;Input_Tidshorisont,BlankTegn,
IF(Tidstabel[[#This Row],[År]]=0,0,Tidstabel[[#This Row],[EI_Uds?]]*EI_Enhedspris*((1+Tidstabel[[#This Row],[Kalkulationsrente]])^-Tidstabel[[#This Row],[År]])*((1+PrisudviklingGenerelt)^Tidstabel[[#This Row],[År]]))),BlankTegn)</f>
        <v>.</v>
      </c>
      <c r="BS43" s="262" t="str">
        <f>IFERROR(IF(Tidstabel[[#This Row],[År]]&gt;Input_Tidshorisont,BlankTegn,
IF(Tidstabel[[#This Row],[År]]=0,0,Tidstabel[[#This Row],[EI_Uds?]]*-EI_Enhedspris*EI_Genoprettelse*((1+Tidstabel[[#This Row],[Kalkulationsrente]])^-Tidstabel[[#This Row],[År]])*((1+PrisudviklingGenerelt)^Tidstabel[[#This Row],[År]]))),BlankTegn)</f>
        <v>.</v>
      </c>
      <c r="BT43" s="245">
        <f>IFERROR(IF(Tidstabel[[#This Row],[År]]&gt;Input_Tidshorisont,BlankTegn,
IF(Tidstabel[[#This Row],[År]]=0,-AP_Enhedspris,0)),BlankTegn)</f>
        <v>0</v>
      </c>
      <c r="BU43" s="245" t="str">
        <f>IFERROR(IF(Tidstabel[[#This Row],[År]]&gt;Input_Tidshorisont,BlankTegn,
IF(Tidstabel[[#This Row],[År]]=0,AP_Enhedspris/AP_Levetid,BU42*((1+Tidstabel[[#This Row],[Kalkulationsrente]])^-1)*((1+PrisudviklingGenerelt)^1))),BlankTegn)</f>
        <v>.</v>
      </c>
      <c r="BV43" s="178" t="str">
        <f ca="1">IFERROR(IF(Tidstabel[[#This Row],[År]]&gt;Input_Tidshorisont,BlankTegn,
IF(AP_Vedligehold_i=1,IF(Tidstabel[[#This Row],[AP_Uds?]]=0,1,0),IF(MAX(BV42:OFFSET(BW42,2-AP_Vedligehold_i,0),Tidstabel[[#This Row],[AP_Uds?]])=0,1,0))),BlankTegn)</f>
        <v>.</v>
      </c>
      <c r="BW43" s="178" t="str">
        <f>IFERROR(IF(Tidstabel[[#This Row],[År]]&gt;Input_Tidshorisont,BlankTegn,
IF(Tidstabel[[#This Row],[År]]=0,1,IF(MOD(Tidstabel[[#This Row],[År]],AP_Levetid)=0,1,IF(Tidstabel[[#This Row],[År]]=Input_Tidshorisont,0,0)))),BlankTegn)</f>
        <v>.</v>
      </c>
      <c r="BX43" s="245" t="str">
        <f ca="1">IFERROR(IF(Tidstabel[[#This Row],[År]]&gt;Input_Tidshorisont,BlankTegn,
AP_Vedligehold_p*-AP_Enhedspris*Tidstabel[[#This Row],[AP_Ved?]]*((1+Tidstabel[[#This Row],[Kalkulationsrente]])^-Tidstabel[[#This Row],[År]])*((1+PrisudviklingGenerelt)^Tidstabel[[#This Row],[År]])),BlankTegn)</f>
        <v>.</v>
      </c>
      <c r="BY43" s="245" t="str">
        <f>IFERROR(IF(Tidstabel[[#This Row],[År]]&gt;Input_Tidshorisont,BlankTegn,
IF(Tidstabel[[#This Row],[År]]=0,AP_Enhedspris,SUM(BY42:BZ42)*((1+Tidstabel[[#This Row],[Kalkulationsrente]])^-1)*((1+PrisudviklingGenerelt)^1)-Tidstabel[[#This Row],[AP_Afskrivning]])),BlankTegn)</f>
        <v>.</v>
      </c>
      <c r="BZ43" s="245" t="str">
        <f>IFERROR(IF(Tidstabel[[#This Row],[År]]&gt;Input_Tidshorisont,BlankTegn,
IF(Tidstabel[[#This Row],[År]]=0,0,Tidstabel[[#This Row],[AP_Uds?]]*AP_Enhedspris*((1+Tidstabel[[#This Row],[Kalkulationsrente]])^-Tidstabel[[#This Row],[År]])*((1+PrisudviklingGenerelt)^Tidstabel[[#This Row],[År]]))),BlankTegn)</f>
        <v>.</v>
      </c>
      <c r="CA43" s="262" t="str">
        <f>IFERROR(IF(Tidstabel[[#This Row],[År]]&gt;Input_Tidshorisont,BlankTegn,
IF(Tidstabel[[#This Row],[År]]=0,0,Tidstabel[[#This Row],[AP_Uds?]]*-AP_Enhedspris*AP_Genoprettelse*((1+Tidstabel[[#This Row],[Kalkulationsrente]])^-Tidstabel[[#This Row],[År]])*((1+PrisudviklingGenerelt)^Tidstabel[[#This Row],[År]]))),BlankTegn)</f>
        <v>.</v>
      </c>
      <c r="CB43" s="245">
        <f>IFERROR(IF(Tidstabel[[#This Row],[År]]&gt;Input_Tidshorisont,BlankTegn,
IF(Tidstabel[[#This Row],[År]]=0,-SK_Enhedspris,0)),BlankTegn)</f>
        <v>0</v>
      </c>
      <c r="CC43" s="245" t="str">
        <f>IFERROR(IF(Tidstabel[[#This Row],[År]]&gt;Input_Tidshorisont,BlankTegn,
IF(Tidstabel[[#This Row],[År]]=0,SK_Enhedspris/SK_Levetid,CC42*((1+Tidstabel[[#This Row],[Kalkulationsrente]])^-1)*((1+PrisudviklingGenerelt)^1))),BlankTegn)</f>
        <v>.</v>
      </c>
      <c r="CD43" s="178" t="str">
        <f ca="1">IFERROR(IF(Tidstabel[[#This Row],[År]]&gt;Input_Tidshorisont,BlankTegn,
IF(SK_Vedligehold_i=1,IF(Tidstabel[[#This Row],[SK_Uds?]]=0,1,0),IF(MAX(CD42:OFFSET(CE42,2-SK_Vedligehold_i,0),Tidstabel[[#This Row],[SK_Uds?]])=0,1,0))),BlankTegn)</f>
        <v>.</v>
      </c>
      <c r="CE43" s="178" t="str">
        <f>IFERROR(IF(Tidstabel[[#This Row],[År]]&gt;Input_Tidshorisont,BlankTegn,
IF(Tidstabel[[#This Row],[År]]=0,1,IF(MOD(Tidstabel[[#This Row],[År]],SK_Levetid)=0,1,IF(Tidstabel[[#This Row],[År]]=Input_Tidshorisont,0,0)))),BlankTegn)</f>
        <v>.</v>
      </c>
      <c r="CF43" s="245" t="str">
        <f ca="1">IFERROR(IF(Tidstabel[[#This Row],[År]]&gt;Input_Tidshorisont,BlankTegn,
SK_Vedligehold_p*-SK_Enhedspris*Tidstabel[[#This Row],[SK_Ved?]]*((1+Tidstabel[[#This Row],[Kalkulationsrente]])^-Tidstabel[[#This Row],[År]])*((1+PrisudviklingGenerelt)^Tidstabel[[#This Row],[År]])),BlankTegn)</f>
        <v>.</v>
      </c>
      <c r="CG43" s="245" t="str">
        <f>IFERROR(IF(Tidstabel[[#This Row],[År]]&gt;Input_Tidshorisont,BlankTegn,
IF(Tidstabel[[#This Row],[År]]=0,SK_Enhedspris,SUM(CG42:CH42)*((1+Tidstabel[[#This Row],[Kalkulationsrente]])^-1)*((1+PrisudviklingGenerelt)^1)-Tidstabel[[#This Row],[SK_Afskrivning]])),BlankTegn)</f>
        <v>.</v>
      </c>
      <c r="CH43" s="245" t="str">
        <f>IFERROR(IF(Tidstabel[[#This Row],[År]]&gt;Input_Tidshorisont,BlankTegn,
IF(Tidstabel[[#This Row],[År]]=0,0,Tidstabel[[#This Row],[SK_Uds?]]*SK_Enhedspris*((1+Tidstabel[[#This Row],[Kalkulationsrente]])^-Tidstabel[[#This Row],[År]])*((1+PrisudviklingGenerelt)^Tidstabel[[#This Row],[År]]))),BlankTegn)</f>
        <v>.</v>
      </c>
      <c r="CI43" s="262" t="str">
        <f>IFERROR(IF(Tidstabel[[#This Row],[År]]&gt;Input_Tidshorisont,BlankTegn,
IF(Tidstabel[[#This Row],[År]]=0,0,Tidstabel[[#This Row],[SK_Uds?]]*-SK_Enhedspris*SK_Genoprettelse*((1+Tidstabel[[#This Row],[Kalkulationsrente]])^-Tidstabel[[#This Row],[År]])*((1+PrisudviklingGenerelt)^Tidstabel[[#This Row],[År]]))),BlankTegn)</f>
        <v>.</v>
      </c>
      <c r="CJ43" s="19"/>
    </row>
    <row r="44" spans="1:88">
      <c r="A44" s="250">
        <v>37</v>
      </c>
      <c r="B44" s="250">
        <f>Input_Etableringsår+Tidstabel[[#This Row],[År]]</f>
        <v>2061</v>
      </c>
      <c r="C44" s="274" cm="1">
        <f t="array" ref="C44">_xlfn.IFS(Tidstabel[[#This Row],[År]]&gt;KR_Trin3_Tærskel,KR_Trin3_Rente,Tidstabel[[#This Row],[År]]&gt;KR_Trin2_Tærskel,KR_Trin2_Rente,Tidstabel[[#This Row],[År]]&gt;KR_Trin1_Tærskel,KR_Trin1_Rente,Tidstabel[[#This Row],[År]]&gt;KR_Trin0_Tærskel,KR_Trin0_Rente)</f>
        <v>2.5000000000000001E-2</v>
      </c>
      <c r="D44" s="142" t="str" cm="1">
        <f t="array" ref="D44">IFERROR(
INDEX(Range_Materiale_ÅrligeEmissioner,MATCH(1,(Materialedata[Komponent]=FB_Titel)*(Materialedata[Materiale]=FB_Materiale),0),MATCH(Tidstabel[[#This Row],[År]],Range_Materiale_År,0)),BlankTegn)</f>
        <v>.</v>
      </c>
      <c r="E44" s="142" t="str" cm="1">
        <f t="array" ref="E44">IFERROR(
INDEX(Range_Materiale_ÅrligeEmissioner,MATCH(1,(Materialedata[Komponent]=SK_Titel)*(Materialedata[Materiale]=SK_Materiale),0),MATCH(Tidstabel[[#This Row],[År]],Range_Materiale_År,0)),BlankTegn)</f>
        <v>.</v>
      </c>
      <c r="F44" s="142" t="str" cm="1">
        <f t="array" ref="F44">IFERROR(
INDEX(Range_Materiale_ÅrligeEmissioner,MATCH(1,(Materialedata[Komponent]=EI_Titel)*(Materialedata[Materiale]=EI_Materiale),0),MATCH(Tidstabel[[#This Row],[År]],Range_Materiale_År,0)),BlankTegn)</f>
        <v>.</v>
      </c>
      <c r="G44" s="142" t="str" cm="1">
        <f t="array" ref="G44">IFERROR(
INDEX(Range_Materiale_ÅrligeEmissioner,MATCH(1,(Materialedata[Komponent]=AP_Titel)*(Materialedata[Materiale]=AP_Materiale),0),MATCH(Tidstabel[[#This Row],[År]],Range_Materiale_År,0)),BlankTegn)</f>
        <v>.</v>
      </c>
      <c r="H44" s="142" t="str" cm="1">
        <f t="array" ref="H44">IFERROR(
INDEX(Range_Materiale_ÅrligeEmissioner,MATCH(1,(Materialedata[Komponent]=VS_Titel)*(Materialedata[Materiale]=VS_Materiale),0),MATCH(Tidstabel[[#This Row],[År]],Range_Materiale_År,0)),BlankTegn)</f>
        <v>.</v>
      </c>
      <c r="I44" s="142" t="str">
        <f>IFERROR(
IF(SUM(Tidstabel[[#This Row],[Facadebeklædning]:[Vindspærre]])=0,BlankTegn,
SUM(Tidstabel[[#This Row],[Facadebeklædning]:[Vindspærre]])),BlankTegn)</f>
        <v>.</v>
      </c>
      <c r="J44" s="139">
        <f>IF(Tidstabel[[#This Row],[År]]&gt;Input_Tidshorisont,BlankTegn,
A5_ElVarmeBrændstofByggeplads)</f>
        <v>0.25</v>
      </c>
      <c r="K44" s="142" t="str">
        <f>IFERROR(IF(Tidstabel[[#This Row],[År]]&gt;Input_Tidshorisont,BlankTegn,
-1*INDEX(Range_Energi_ÅrligBesparelse,MATCH(Input_EksisterendeFacade,Energiberegning[Ydervæg],0),MATCH(Tidstabel[[#This Row],[Årstal]],Range_Energi_Årstal,0))),BlankTegn)</f>
        <v>.</v>
      </c>
      <c r="L44" s="142">
        <f>IF(Tidstabel[[#This Row],[År]]&gt;Input_Tidshorisont,BlankTegn,
(Tidstabel[[#This Row],[År]]+1)*(SUM(Vedligeholdelsesmaterialer[Facadefarve],Vedligeholdelsesmaterialer[Grunder og mellemmaling])/12+SUM(Vedligeholdelsesmaterialer[Puds])/30))</f>
        <v>12.344462861666665</v>
      </c>
      <c r="M44" s="142" t="str">
        <f>IFERROR(IF(Tidstabel[[#This Row],[År]]&gt;Input_Tidshorisont,BlankTegn,
Tidstabel[[#This Row],[Materialer_Total]]+Tidstabel[[#This Row],[Byggeprocess]]),BlankTegn)</f>
        <v>.</v>
      </c>
      <c r="N44" s="142" t="str">
        <f>IFERROR(IF(Tidstabel[[#This Row],[År]]&gt;Input_Tidshorisont,BlankTegn,
Tidstabel[[#This Row],[Energibesparelse]]+Tidstabel[[#This Row],[Emission_Brutto]]),BlankTegn)</f>
        <v>.</v>
      </c>
      <c r="O44" s="142" t="str">
        <f>IFERROR(IF(Tidstabel[[#This Row],[År]]&gt;Input_Tidshorisont,BlankTegn,
Tidstabel[[#This Row],[Emission_Netto]]-Tidstabel[[#This Row],[Vedligehold_EksisterendeFacade]]),BlankTegn)</f>
        <v>.</v>
      </c>
      <c r="P44" s="271" t="str">
        <f>IFERROR(IF(Tidstabel[[#This Row],[År]]&gt;Input_Tidshorisont,BlankTegn,
IF(AND(Tidstabel[[#This Row],[Emission_Netto]]-Tidstabel[[#This Row],[Vedligehold_EksisterendeFacade]]&gt;0,N45-L45&lt;0),-1,IF(AND(Tidstabel[[#This Row],[Emission_Netto]]-Tidstabel[[#This Row],[Vedligehold_EksisterendeFacade]]&lt;0,N45-L45&gt;0),1,0))),BlankTegn)</f>
        <v>.</v>
      </c>
      <c r="Q44" s="174" t="str">
        <f>IF(Tidstabel[[#This Row],[År]]&gt;Input_Tidshorisont,BlankTegn,
IF(Tidstabel[[#This Row],[LCA-Skæring]]=-1,SUM(Tidstabel[[#This Row],[År]]*(1-ABS(Tidstabel[[#This Row],[LCA-Difference]])/(ABS(Tidstabel[[#This Row],[LCA-Difference]])+ABS(O45))),A45*(1-ABS(O45)/(ABS(Tidstabel[[#This Row],[LCA-Difference]])+ABS(O45)))),"-"))</f>
        <v>-</v>
      </c>
      <c r="R44" s="174" t="str">
        <f>IF(Tidstabel[[#This Row],[År]]&gt;Input_Tidshorisont,BlankTegn,
IF(Tidstabel[[#This Row],[LCA-Skæring]]=-1,SUM(Tidstabel[[#This Row],[Emission_Netto]]*(1-ABS(Tidstabel[[#This Row],[LCA-Difference]])/(ABS(Tidstabel[[#This Row],[LCA-Difference]])+ABS(O45))),N45*(1-ABS(O45)/(ABS(Tidstabel[[#This Row],[LCA-Difference]])+ABS(O45)))),"-"))</f>
        <v>-</v>
      </c>
      <c r="S44" s="174" t="str">
        <f>IF(Tidstabel[[#This Row],[År]]&gt;Input_Tidshorisont,BlankTegn,
IF(Tidstabel[[#This Row],[LCA-Skæring]]=1,SUM(Tidstabel[[#This Row],[År]]*(1-ABS(Tidstabel[[#This Row],[LCA-Difference]])/(ABS(Tidstabel[[#This Row],[LCA-Difference]])+ABS(O45))),A45*(1-ABS(O45)/(ABS(Tidstabel[[#This Row],[LCA-Difference]])+ABS(O45)))),"-"))</f>
        <v>-</v>
      </c>
      <c r="T44" s="264" t="str">
        <f>IF(Tidstabel[[#This Row],[År]]&gt;Input_Tidshorisont,BlankTegn,
IF(Tidstabel[[#This Row],[LCA-Skæring]]=1,SUM(Tidstabel[[#This Row],[Emission_Netto]]*(1-ABS(Tidstabel[[#This Row],[LCA-Difference]])/(ABS(Tidstabel[[#This Row],[LCA-Difference]])+ABS(O45))),N45*(1-ABS(O45)/(ABS(Tidstabel[[#This Row],[LCA-Difference]])+ABS(O45)))),"-"))</f>
        <v>-</v>
      </c>
      <c r="U44" s="142" t="str">
        <f ca="1">IFERROR(IF(Tidstabel[[#This Row],[År]]&gt;Input_Tidshorisont,BlankTegn,
Tidstabel[[#This Row],[NPV_Klimafacade]]-Tidstabel[[#This Row],[NPV_Eksisterende]]),BlankTegn)</f>
        <v>.</v>
      </c>
      <c r="V44" s="271" t="str">
        <f ca="1">IFERROR(IF(Tidstabel[[#This Row],[År]]&gt;Input_Tidshorisont,BlankTegn,
IF(AND(Tidstabel[[#This Row],[NPV_Klimafacade]]-Tidstabel[[#This Row],[NPV_Eksisterende]]&gt;0,AB45-AA45&lt;0),1,IF(AND(Tidstabel[[#This Row],[NPV_Klimafacade]]-Tidstabel[[#This Row],[NPV_Eksisterende]]&lt;0,AB45-AA45&gt;0),-1,0))),BlankTegn)</f>
        <v>.</v>
      </c>
      <c r="W44" s="174" t="str">
        <f ca="1">IF(Tidstabel[[#This Row],[År]]&gt;Input_Tidshorisont,BlankTegn,
IF(Tidstabel[[#This Row],[LCC-Skæring]]=-1,SUM(Tidstabel[[#This Row],[År]]*(1-ABS(Tidstabel[[#This Row],[LCC-Difference]])/(ABS(Tidstabel[[#This Row],[LCC-Difference]])+ABS(U45))),A45*(1-ABS(U45)/(ABS(Tidstabel[[#This Row],[LCC-Difference]])+ABS(U45)))),"-"))</f>
        <v>-</v>
      </c>
      <c r="X44" s="174" t="str">
        <f ca="1">IF(Tidstabel[[#This Row],[År]]&gt;Input_Tidshorisont,BlankTegn,
IF(Tidstabel[[#This Row],[LCC-Skæring]]=-1,SUM(Tidstabel[[#This Row],[NPV_Klimafacade]]*(1-ABS(Tidstabel[[#This Row],[LCC-Difference]])/(ABS(Tidstabel[[#This Row],[LCC-Difference]])+ABS(U45))),AB45*(1-ABS(U45)/(ABS(Tidstabel[[#This Row],[LCC-Difference]])+ABS(U45)))),"-"))</f>
        <v>-</v>
      </c>
      <c r="Y44" s="174" t="str">
        <f ca="1">IF(Tidstabel[[#This Row],[År]]&gt;Input_Tidshorisont,BlankTegn,
IF(Tidstabel[[#This Row],[LCC-Skæring]]=1,SUM(Tidstabel[[#This Row],[År]]*(1-ABS(Tidstabel[[#This Row],[LCC-Difference]])/(ABS(Tidstabel[[#This Row],[LCC-Difference]])+ABS(U45))),A45*(1-ABS(U45)/(ABS(Tidstabel[[#This Row],[LCC-Difference]])+ABS(U45)))),"-"))</f>
        <v>-</v>
      </c>
      <c r="Z44" s="264" t="str">
        <f ca="1">IF(Tidstabel[[#This Row],[År]]&gt;Input_Tidshorisont,BlankTegn,
IF(Tidstabel[[#This Row],[LCC-Skæring]]=1,SUM(Tidstabel[[#This Row],[NPV_Klimafacade]]*(1-ABS(Tidstabel[[#This Row],[LCC-Difference]])/(ABS(Tidstabel[[#This Row],[LCC-Difference]])+ABS(U45))),AB45*(1-ABS(U45)/(ABS(Tidstabel[[#This Row],[LCC-Difference]])+ABS(U45)))),"-"))</f>
        <v>-</v>
      </c>
      <c r="AA44" s="142">
        <f ca="1">IF(Tidstabel[[#This Row],[År]]&gt;Input_Tidshorisont,BlankTegn,
Tidstabel[[#This Row],[EF_Vedligehold_Aggregeret]])</f>
        <v>-232.26911087306479</v>
      </c>
      <c r="AB44"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44" s="142" t="str">
        <f>IFERROR(IF(Tidstabel[[#This Row],[År]]&gt;Input_Tidshorisont,BlankTegn,
Tidstabel[[#This Row],[KF_Anskaffelse_Aggregeret]]+Tidstabel[[#This Row],[KF_Engangsudgifter_Aggregeret]]),BlankTegn)</f>
        <v>.</v>
      </c>
      <c r="AD44" s="174">
        <f ca="1">IFERROR(IF(Tidstabel[[#This Row],[År]]&gt;Input_Tidshorisont,BlankTegn,
IF(Tidstabel[[#This Row],[År]]=0,0,Tidstabel[[#This Row],[NPV_Eksisterende]]*(Tidstabel[[#This Row],[Kalkulationsrente]]/(1-(1+Tidstabel[[#This Row],[Kalkulationsrente]])^-Tidstabel[[#This Row],[År]])))),BlankTegn)</f>
        <v>-9.6951215389542895</v>
      </c>
      <c r="AE44" s="264" t="str">
        <f ca="1">IFERROR(IF(Tidstabel[[#This Row],[År]]&gt;Input_Tidshorisont,BlankTegn,
IF(Tidstabel[[#This Row],[År]]=0,0,Tidstabel[[#This Row],[NPV_Klimafacade]]*(Tidstabel[[#This Row],[Kalkulationsrente]]/(1-(1+Tidstabel[[#This Row],[Kalkulationsrente]])^-Tidstabel[[#This Row],[År]])))),BlankTegn)</f>
        <v>.</v>
      </c>
      <c r="AF44" s="270">
        <f ca="1">IF(Tidstabel[[#This Row],[År]]&gt;Input_Tidshorisont,BlankTegn,
IF(EF_Vedligehold_i=1,IF(Tidstabel[[#This Row],[EF_Uds?]]=0,1,0),IF(MAX(AF43:OFFSET(AG43,2-EF_Vedligehold_i,0),Tidstabel[[#This Row],[EF_Uds?]])=0,1,0)))</f>
        <v>1</v>
      </c>
      <c r="AG44" s="181">
        <f>IF(Tidstabel[[#This Row],[År]]&gt;Input_Tidshorisont,BlankTegn,0)</f>
        <v>0</v>
      </c>
      <c r="AH44" s="263">
        <f ca="1">IF(Tidstabel[[#This Row],[År]]&gt;Input_Tidshorisont,BlankTegn,
Tidstabel[[#This Row],[EF_Ved?]]*EF_Vedligehold_p*-EF_Enhedspris*((1+Tidstabel[[#This Row],[Kalkulationsrente]])^-Tidstabel[[#This Row],[År]])*((1+PrisudviklingGenerelt)^Tidstabel[[#This Row],[År]]))</f>
        <v>-4.2706756149403011</v>
      </c>
      <c r="AI44" s="262">
        <f ca="1">IF(Tidstabel[[#This Row],[År]]&gt;Input_Tidshorisont,BlankTegn,
IF(Tidstabel[[#This Row],[År]]=0,Tidstabel[[#This Row],[EF_Vedligehold]],AI43+Tidstabel[[#This Row],[EF_Vedligehold]]))</f>
        <v>-232.26911087306479</v>
      </c>
      <c r="AJ44" s="245">
        <f>IFERROR(IF(Tidstabel[[#This Row],[År]]&gt;Input_Tidshorisont,BlankTegn,
Tidstabel[[#This Row],[FB_Anskaffelse]]+Tidstabel[[#This Row],[VS_Anskaffelse]]+Tidstabel[[#This Row],[EI_Anskaffelse]]+Tidstabel[[#This Row],[AP_Anskaffelse]]+Tidstabel[[#This Row],[SK_Anskaffelse]]),BlankTegn)</f>
        <v>0</v>
      </c>
      <c r="AK44" s="245" t="str">
        <f>IFERROR(IF(Tidstabel[[#This Row],[År]]&gt;Input_Tidshorisont,BlankTegn,
IF(Tidstabel[[#This Row],[År]]=0,Tidstabel[[#This Row],[KF_Anskaffelse]],AK43+Tidstabel[[#This Row],[KF_Anskaffelse]])),BlankTegn)</f>
        <v>.</v>
      </c>
      <c r="AL44" s="246" t="str">
        <f ca="1">IFERROR(IF(Tidstabel[[#This Row],[År]]&gt;Input_Tidshorisont,BlankTegn,
Tidstabel[[#This Row],[FB_Vedligehold]]+Tidstabel[[#This Row],[VS_Vedligehold]]+Tidstabel[[#This Row],[EI_Vedligehold]]+Tidstabel[[#This Row],[AP_Vedligehold]]+Tidstabel[[#This Row],[SK_Vedligehold]]),BlankTegn)</f>
        <v>.</v>
      </c>
      <c r="AM44" s="245" t="str">
        <f ca="1">IFERROR(IF(Tidstabel[[#This Row],[År]]&gt;Input_Tidshorisont,BlankTegn,
IF(Tidstabel[[#This Row],[År]]=0,Tidstabel[[#This Row],[KF_Vedligehold]],AM43+Tidstabel[[#This Row],[KF_Vedligehold]])),BlankTegn)</f>
        <v>.</v>
      </c>
      <c r="AN44"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44"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44" s="245" t="str">
        <f>IFERROR(IF(Tidstabel[[#This Row],[År]]&gt;Input_Tidshorisont,BlankTegn,
IF(Tidstabel[[#This Row],[År]]=0,Tidstabel[[#This Row],[KF_Udskiftning_Komponent]],AP43+Tidstabel[[#This Row],[KF_Udskiftning_Komponent]])),BlankTegn)</f>
        <v>.</v>
      </c>
      <c r="AQ44" s="245">
        <f>IF(Tidstabel[[#This Row],[År]]&gt;Input_Tidshorisont,BlankTegn,
IF(Tidstabel[[#This Row],[År]]=0,-SUM(Engangsudgifter[Udgift]),0))</f>
        <v>0</v>
      </c>
      <c r="AR44" s="245">
        <f>IFERROR(IF(Tidstabel[[#This Row],[År]]&gt;Input_Tidshorisont,BlankTegn,
IF(Tidstabel[[#This Row],[År]]=0,Tidstabel[[#This Row],[KF_Engangsudgifter]],AR43+Tidstabel[[#This Row],[KF_Engangsudgifter]])),BlankTegn)</f>
        <v>0</v>
      </c>
      <c r="AS44" s="315" t="str">
        <f>IFERROR(IF(Tidstabel[[#This Row],[År]]&gt;Input_Tidshorisont,BlankTegn,
-Energibesparelse_Årlig),BlankTegn)</f>
        <v>.</v>
      </c>
      <c r="AT44" s="245" t="str">
        <f>IFERROR(IF(Tidstabel[[#This Row],[År]]&gt;Input_Tidshorisont,BlankTegn,
IF(Tidstabel[[#This Row],[År]]=0,0,-Tidstabel[[#This Row],[KF_Energiforbrug]]*Input_Fjernvarmepris*((1+Tidstabel[[#This Row],[Kalkulationsrente]])^-Tidstabel[[#This Row],[År]])*((1+PrisudviklingFjernvarme)^Tidstabel[[#This Row],[År]]))),BlankTegn)</f>
        <v>.</v>
      </c>
      <c r="AU44" s="262" t="str">
        <f>IFERROR(IF(Tidstabel[[#This Row],[År]]&gt;Input_Tidshorisont,BlankTegn,
IF(Tidstabel[[#This Row],[År]]=0,Tidstabel[[#This Row],[KF_Forsyning]],AU43+Tidstabel[[#This Row],[KF_Forsyning]])),BlankTegn)</f>
        <v>.</v>
      </c>
      <c r="AV44" s="245">
        <f>IFERROR(IF(Tidstabel[[#This Row],[År]]&gt;Input_Tidshorisont,BlankTegn,
IF(Tidstabel[[#This Row],[År]]=0,-FB_Enhedspris,0)),BlankTegn)</f>
        <v>0</v>
      </c>
      <c r="AW44" s="245" t="str">
        <f>IFERROR(IF(Tidstabel[[#This Row],[År]]&gt;Input_Tidshorisont,BlankTegn,
IF(Tidstabel[[#This Row],[År]]=0,FB_Enhedspris/FB_Levetid,AW43*((1+Tidstabel[[#This Row],[Kalkulationsrente]])^-1)*((1+PrisudviklingGenerelt)^1))),BlankTegn)</f>
        <v>.</v>
      </c>
      <c r="AX44" s="178" t="str">
        <f ca="1">IFERROR(IF(Tidstabel[[#This Row],[År]]&gt;Input_Tidshorisont,BlankTegn,
IF(FB_Vedligehold_i=1,IF(Tidstabel[[#This Row],[FB_Uds?]]=0,1,0),IF(MAX(AX43:OFFSET(AY43,2-FB_Vedligehold_i,0),Tidstabel[[#This Row],[FB_Uds?]])=0,1,0))),BlankTegn)</f>
        <v>.</v>
      </c>
      <c r="AY44" s="178" t="str">
        <f>IFERROR(IF(Tidstabel[[#This Row],[År]]&gt;Input_Tidshorisont,BlankTegn,
IF(Tidstabel[[#This Row],[År]]=0,1,IF(MOD(Tidstabel[[#This Row],[År]],FB_Levetid)=0,1,IF(Tidstabel[[#This Row],[År]]=Input_Tidshorisont,0,0)))),BlankTegn)</f>
        <v>.</v>
      </c>
      <c r="AZ44" s="245" t="str">
        <f ca="1">IFERROR(IF(Tidstabel[[#This Row],[År]]&gt;Input_Tidshorisont,BlankTegn,
FB_Vedligehold_p*-FB_Enhedspris*Tidstabel[[#This Row],[FB_Ved?]]*((1+Tidstabel[[#This Row],[Kalkulationsrente]])^-Tidstabel[[#This Row],[År]])*((1+PrisudviklingGenerelt)^Tidstabel[[#This Row],[År]])),BlankTegn)</f>
        <v>.</v>
      </c>
      <c r="BA44" s="245" t="str">
        <f>IFERROR(IF(Tidstabel[[#This Row],[År]]&gt;Input_Tidshorisont,BlankTegn,
IF(Tidstabel[[#This Row],[År]]=0,FB_Enhedspris,SUM(BA43:BB43)*((1+Tidstabel[[#This Row],[Kalkulationsrente]])^-1)*((1+PrisudviklingGenerelt)^1)-Tidstabel[[#This Row],[FB_Afskrivning]])),BlankTegn)</f>
        <v>.</v>
      </c>
      <c r="BB44" s="245" t="str">
        <f>IFERROR(IF(Tidstabel[[#This Row],[År]]&gt;Input_Tidshorisont,BlankTegn,
IF(Tidstabel[[#This Row],[År]]=0,0,Tidstabel[[#This Row],[FB_Uds?]]*FB_Enhedspris*((1+Tidstabel[[#This Row],[Kalkulationsrente]])^-Tidstabel[[#This Row],[År]])*((1+PrisudviklingGenerelt)^Tidstabel[[#This Row],[År]]))),BlankTegn)</f>
        <v>.</v>
      </c>
      <c r="BC44" s="262" t="str">
        <f>IFERROR(IF(Tidstabel[[#This Row],[År]]&gt;Input_Tidshorisont,BlankTegn,
IF(Tidstabel[[#This Row],[År]]=0,0,Tidstabel[[#This Row],[FB_Uds?]]*-FB_Enhedspris*FB_Genoprettelse*((1+Tidstabel[[#This Row],[Kalkulationsrente]])^-Tidstabel[[#This Row],[År]])*((1+PrisudviklingGenerelt)^Tidstabel[[#This Row],[År]]))),BlankTegn)</f>
        <v>.</v>
      </c>
      <c r="BD44" s="245">
        <f>IFERROR(IF(Tidstabel[[#This Row],[År]]&gt;Input_Tidshorisont,BlankTegn,
IF(Tidstabel[[#This Row],[År]]=0,-VS_Enhedspris,0)),BlankTegn)</f>
        <v>0</v>
      </c>
      <c r="BE44" s="245" t="str">
        <f>IFERROR(IF(Tidstabel[[#This Row],[År]]&gt;Input_Tidshorisont,BlankTegn,
IF(Tidstabel[[#This Row],[År]]=0,VS_Enhedspris/VS_Levetid,BE43*((1+Tidstabel[[#This Row],[Kalkulationsrente]])^-1)*((1+PrisudviklingGenerelt)^1))),BlankTegn)</f>
        <v>.</v>
      </c>
      <c r="BF44" s="178" t="str">
        <f ca="1">IFERROR(IF(Tidstabel[[#This Row],[År]]&gt;Input_Tidshorisont,BlankTegn,
IF(VS_Vedligehold_i=1,IF(Tidstabel[[#This Row],[VS_Uds?]]=0,1,0),IF(MAX(BF43:OFFSET(BG43,2-VS_Vedligehold_i,0),Tidstabel[[#This Row],[VS_Uds?]])=0,1,0))),BlankTegn)</f>
        <v>.</v>
      </c>
      <c r="BG44" s="178" t="str">
        <f>IFERROR(IF(Tidstabel[[#This Row],[År]]&gt;Input_Tidshorisont,BlankTegn,
IF(Tidstabel[[#This Row],[År]]=0,1,IF(MOD(Tidstabel[[#This Row],[År]],VS_Levetid)=0,1,IF(Tidstabel[[#This Row],[År]]=Input_Tidshorisont,0,0)))),BlankTegn)</f>
        <v>.</v>
      </c>
      <c r="BH44" s="245" t="str">
        <f ca="1">IFERROR(IF(Tidstabel[[#This Row],[År]]&gt;Input_Tidshorisont,BlankTegn,
VS_Vedligehold_p*-VS_Enhedspris*Tidstabel[[#This Row],[VS_Ved?]]*((1+Tidstabel[[#This Row],[Kalkulationsrente]])^-Tidstabel[[#This Row],[År]])*((1+PrisudviklingGenerelt)^Tidstabel[[#This Row],[År]])),BlankTegn)</f>
        <v>.</v>
      </c>
      <c r="BI44" s="245" t="str">
        <f>IFERROR(IF(Tidstabel[[#This Row],[År]]&gt;Input_Tidshorisont,BlankTegn,
IF(Tidstabel[[#This Row],[År]]=0,VS_Enhedspris,SUM(BI43:BJ43)*((1+Tidstabel[[#This Row],[Kalkulationsrente]])^-1)*((1+PrisudviklingGenerelt)^1)-Tidstabel[[#This Row],[VS_Afskrivning]])),BlankTegn)</f>
        <v>.</v>
      </c>
      <c r="BJ44" s="245" t="str">
        <f>IFERROR(IF(Tidstabel[[#This Row],[År]]&gt;Input_Tidshorisont,BlankTegn,
IF(Tidstabel[[#This Row],[År]]=0,0,Tidstabel[[#This Row],[VS_Uds?]]*VS_Enhedspris*((1+Tidstabel[[#This Row],[Kalkulationsrente]])^-Tidstabel[[#This Row],[År]])*((1+PrisudviklingGenerelt)^Tidstabel[[#This Row],[År]]))),BlankTegn)</f>
        <v>.</v>
      </c>
      <c r="BK44" s="262" t="str">
        <f>IFERROR(IF(Tidstabel[[#This Row],[År]]&gt;Input_Tidshorisont,BlankTegn,
IF(Tidstabel[[#This Row],[År]]=0,0,Tidstabel[[#This Row],[VS_Uds?]]*-VS_Enhedspris*VS_Genoprettelse*((1+Tidstabel[[#This Row],[Kalkulationsrente]])^-Tidstabel[[#This Row],[År]])*((1+PrisudviklingGenerelt)^Tidstabel[[#This Row],[År]]))),BlankTegn)</f>
        <v>.</v>
      </c>
      <c r="BL44" s="245">
        <f>IFERROR(IF(Tidstabel[[#This Row],[År]]&gt;Input_Tidshorisont,BlankTegn,
IF(Tidstabel[[#This Row],[År]]=0,-EI_Enhedspris,0)),BlankTegn)</f>
        <v>0</v>
      </c>
      <c r="BM44" s="245" t="str">
        <f>IFERROR(IF(Tidstabel[[#This Row],[År]]&gt;Input_Tidshorisont,BlankTegn,
IF(Tidstabel[[#This Row],[År]]=0,EI_Enhedspris/EI_Levetid,BM43*((1+Tidstabel[[#This Row],[Kalkulationsrente]])^-1)*((1+PrisudviklingGenerelt)^1))),BlankTegn)</f>
        <v>.</v>
      </c>
      <c r="BN44" s="178" t="str">
        <f ca="1">IFERROR(IF(Tidstabel[[#This Row],[År]]&gt;Input_Tidshorisont,BlankTegn,
IF(EI_Vedligehold_i=1,IF(Tidstabel[[#This Row],[EI_Uds?]]=0,1,0),IF(MAX(BN43:OFFSET(BO43,2-EI_Vedligehold_i,0),Tidstabel[[#This Row],[EI_Uds?]])=0,1,0))),BlankTegn)</f>
        <v>.</v>
      </c>
      <c r="BO44" s="178" t="str">
        <f>IFERROR(IF(Tidstabel[[#This Row],[År]]&gt;Input_Tidshorisont,BlankTegn,
IF(Tidstabel[[#This Row],[År]]=0,1,IF(MOD(Tidstabel[[#This Row],[År]],EI_Levetid)=0,1,IF(Tidstabel[[#This Row],[År]]=Input_Tidshorisont,0,0)))),BlankTegn)</f>
        <v>.</v>
      </c>
      <c r="BP44" s="245" t="str">
        <f ca="1">IFERROR(IF(Tidstabel[[#This Row],[År]]&gt;Input_Tidshorisont,BlankTegn,
EI_Vedligehold_p*-EI_Enhedspris*Tidstabel[[#This Row],[EI_Ved?]]*((1+Tidstabel[[#This Row],[Kalkulationsrente]])^-Tidstabel[[#This Row],[År]])*((1+PrisudviklingGenerelt)^Tidstabel[[#This Row],[År]])),BlankTegn)</f>
        <v>.</v>
      </c>
      <c r="BQ44" s="245" t="str">
        <f>IFERROR(IF(Tidstabel[[#This Row],[År]]&gt;Input_Tidshorisont,BlankTegn,
IF(Tidstabel[[#This Row],[År]]=0,EI_Enhedspris,SUM(BQ43:BR43)*((1+Tidstabel[[#This Row],[Kalkulationsrente]])^-1)*((1+PrisudviklingGenerelt)^1)-Tidstabel[[#This Row],[EI_Afskrivning]])),BlankTegn)</f>
        <v>.</v>
      </c>
      <c r="BR44" s="245" t="str">
        <f>IFERROR(IF(Tidstabel[[#This Row],[År]]&gt;Input_Tidshorisont,BlankTegn,
IF(Tidstabel[[#This Row],[År]]=0,0,Tidstabel[[#This Row],[EI_Uds?]]*EI_Enhedspris*((1+Tidstabel[[#This Row],[Kalkulationsrente]])^-Tidstabel[[#This Row],[År]])*((1+PrisudviklingGenerelt)^Tidstabel[[#This Row],[År]]))),BlankTegn)</f>
        <v>.</v>
      </c>
      <c r="BS44" s="262" t="str">
        <f>IFERROR(IF(Tidstabel[[#This Row],[År]]&gt;Input_Tidshorisont,BlankTegn,
IF(Tidstabel[[#This Row],[År]]=0,0,Tidstabel[[#This Row],[EI_Uds?]]*-EI_Enhedspris*EI_Genoprettelse*((1+Tidstabel[[#This Row],[Kalkulationsrente]])^-Tidstabel[[#This Row],[År]])*((1+PrisudviklingGenerelt)^Tidstabel[[#This Row],[År]]))),BlankTegn)</f>
        <v>.</v>
      </c>
      <c r="BT44" s="245">
        <f>IFERROR(IF(Tidstabel[[#This Row],[År]]&gt;Input_Tidshorisont,BlankTegn,
IF(Tidstabel[[#This Row],[År]]=0,-AP_Enhedspris,0)),BlankTegn)</f>
        <v>0</v>
      </c>
      <c r="BU44" s="245" t="str">
        <f>IFERROR(IF(Tidstabel[[#This Row],[År]]&gt;Input_Tidshorisont,BlankTegn,
IF(Tidstabel[[#This Row],[År]]=0,AP_Enhedspris/AP_Levetid,BU43*((1+Tidstabel[[#This Row],[Kalkulationsrente]])^-1)*((1+PrisudviklingGenerelt)^1))),BlankTegn)</f>
        <v>.</v>
      </c>
      <c r="BV44" s="178" t="str">
        <f ca="1">IFERROR(IF(Tidstabel[[#This Row],[År]]&gt;Input_Tidshorisont,BlankTegn,
IF(AP_Vedligehold_i=1,IF(Tidstabel[[#This Row],[AP_Uds?]]=0,1,0),IF(MAX(BV43:OFFSET(BW43,2-AP_Vedligehold_i,0),Tidstabel[[#This Row],[AP_Uds?]])=0,1,0))),BlankTegn)</f>
        <v>.</v>
      </c>
      <c r="BW44" s="178" t="str">
        <f>IFERROR(IF(Tidstabel[[#This Row],[År]]&gt;Input_Tidshorisont,BlankTegn,
IF(Tidstabel[[#This Row],[År]]=0,1,IF(MOD(Tidstabel[[#This Row],[År]],AP_Levetid)=0,1,IF(Tidstabel[[#This Row],[År]]=Input_Tidshorisont,0,0)))),BlankTegn)</f>
        <v>.</v>
      </c>
      <c r="BX44" s="245" t="str">
        <f ca="1">IFERROR(IF(Tidstabel[[#This Row],[År]]&gt;Input_Tidshorisont,BlankTegn,
AP_Vedligehold_p*-AP_Enhedspris*Tidstabel[[#This Row],[AP_Ved?]]*((1+Tidstabel[[#This Row],[Kalkulationsrente]])^-Tidstabel[[#This Row],[År]])*((1+PrisudviklingGenerelt)^Tidstabel[[#This Row],[År]])),BlankTegn)</f>
        <v>.</v>
      </c>
      <c r="BY44" s="245" t="str">
        <f>IFERROR(IF(Tidstabel[[#This Row],[År]]&gt;Input_Tidshorisont,BlankTegn,
IF(Tidstabel[[#This Row],[År]]=0,AP_Enhedspris,SUM(BY43:BZ43)*((1+Tidstabel[[#This Row],[Kalkulationsrente]])^-1)*((1+PrisudviklingGenerelt)^1)-Tidstabel[[#This Row],[AP_Afskrivning]])),BlankTegn)</f>
        <v>.</v>
      </c>
      <c r="BZ44" s="245" t="str">
        <f>IFERROR(IF(Tidstabel[[#This Row],[År]]&gt;Input_Tidshorisont,BlankTegn,
IF(Tidstabel[[#This Row],[År]]=0,0,Tidstabel[[#This Row],[AP_Uds?]]*AP_Enhedspris*((1+Tidstabel[[#This Row],[Kalkulationsrente]])^-Tidstabel[[#This Row],[År]])*((1+PrisudviklingGenerelt)^Tidstabel[[#This Row],[År]]))),BlankTegn)</f>
        <v>.</v>
      </c>
      <c r="CA44" s="262" t="str">
        <f>IFERROR(IF(Tidstabel[[#This Row],[År]]&gt;Input_Tidshorisont,BlankTegn,
IF(Tidstabel[[#This Row],[År]]=0,0,Tidstabel[[#This Row],[AP_Uds?]]*-AP_Enhedspris*AP_Genoprettelse*((1+Tidstabel[[#This Row],[Kalkulationsrente]])^-Tidstabel[[#This Row],[År]])*((1+PrisudviklingGenerelt)^Tidstabel[[#This Row],[År]]))),BlankTegn)</f>
        <v>.</v>
      </c>
      <c r="CB44" s="245">
        <f>IFERROR(IF(Tidstabel[[#This Row],[År]]&gt;Input_Tidshorisont,BlankTegn,
IF(Tidstabel[[#This Row],[År]]=0,-SK_Enhedspris,0)),BlankTegn)</f>
        <v>0</v>
      </c>
      <c r="CC44" s="245" t="str">
        <f>IFERROR(IF(Tidstabel[[#This Row],[År]]&gt;Input_Tidshorisont,BlankTegn,
IF(Tidstabel[[#This Row],[År]]=0,SK_Enhedspris/SK_Levetid,CC43*((1+Tidstabel[[#This Row],[Kalkulationsrente]])^-1)*((1+PrisudviklingGenerelt)^1))),BlankTegn)</f>
        <v>.</v>
      </c>
      <c r="CD44" s="178" t="str">
        <f ca="1">IFERROR(IF(Tidstabel[[#This Row],[År]]&gt;Input_Tidshorisont,BlankTegn,
IF(SK_Vedligehold_i=1,IF(Tidstabel[[#This Row],[SK_Uds?]]=0,1,0),IF(MAX(CD43:OFFSET(CE43,2-SK_Vedligehold_i,0),Tidstabel[[#This Row],[SK_Uds?]])=0,1,0))),BlankTegn)</f>
        <v>.</v>
      </c>
      <c r="CE44" s="178" t="str">
        <f>IFERROR(IF(Tidstabel[[#This Row],[År]]&gt;Input_Tidshorisont,BlankTegn,
IF(Tidstabel[[#This Row],[År]]=0,1,IF(MOD(Tidstabel[[#This Row],[År]],SK_Levetid)=0,1,IF(Tidstabel[[#This Row],[År]]=Input_Tidshorisont,0,0)))),BlankTegn)</f>
        <v>.</v>
      </c>
      <c r="CF44" s="245" t="str">
        <f ca="1">IFERROR(IF(Tidstabel[[#This Row],[År]]&gt;Input_Tidshorisont,BlankTegn,
SK_Vedligehold_p*-SK_Enhedspris*Tidstabel[[#This Row],[SK_Ved?]]*((1+Tidstabel[[#This Row],[Kalkulationsrente]])^-Tidstabel[[#This Row],[År]])*((1+PrisudviklingGenerelt)^Tidstabel[[#This Row],[År]])),BlankTegn)</f>
        <v>.</v>
      </c>
      <c r="CG44" s="245" t="str">
        <f>IFERROR(IF(Tidstabel[[#This Row],[År]]&gt;Input_Tidshorisont,BlankTegn,
IF(Tidstabel[[#This Row],[År]]=0,SK_Enhedspris,SUM(CG43:CH43)*((1+Tidstabel[[#This Row],[Kalkulationsrente]])^-1)*((1+PrisudviklingGenerelt)^1)-Tidstabel[[#This Row],[SK_Afskrivning]])),BlankTegn)</f>
        <v>.</v>
      </c>
      <c r="CH44" s="245" t="str">
        <f>IFERROR(IF(Tidstabel[[#This Row],[År]]&gt;Input_Tidshorisont,BlankTegn,
IF(Tidstabel[[#This Row],[År]]=0,0,Tidstabel[[#This Row],[SK_Uds?]]*SK_Enhedspris*((1+Tidstabel[[#This Row],[Kalkulationsrente]])^-Tidstabel[[#This Row],[År]])*((1+PrisudviklingGenerelt)^Tidstabel[[#This Row],[År]]))),BlankTegn)</f>
        <v>.</v>
      </c>
      <c r="CI44" s="262" t="str">
        <f>IFERROR(IF(Tidstabel[[#This Row],[År]]&gt;Input_Tidshorisont,BlankTegn,
IF(Tidstabel[[#This Row],[År]]=0,0,Tidstabel[[#This Row],[SK_Uds?]]*-SK_Enhedspris*SK_Genoprettelse*((1+Tidstabel[[#This Row],[Kalkulationsrente]])^-Tidstabel[[#This Row],[År]])*((1+PrisudviklingGenerelt)^Tidstabel[[#This Row],[År]]))),BlankTegn)</f>
        <v>.</v>
      </c>
      <c r="CJ44" s="19"/>
    </row>
    <row r="45" spans="1:88">
      <c r="A45" s="250">
        <v>38</v>
      </c>
      <c r="B45" s="250">
        <f>Input_Etableringsår+Tidstabel[[#This Row],[År]]</f>
        <v>2062</v>
      </c>
      <c r="C45" s="274" cm="1">
        <f t="array" ref="C45">_xlfn.IFS(Tidstabel[[#This Row],[År]]&gt;KR_Trin3_Tærskel,KR_Trin3_Rente,Tidstabel[[#This Row],[År]]&gt;KR_Trin2_Tærskel,KR_Trin2_Rente,Tidstabel[[#This Row],[År]]&gt;KR_Trin1_Tærskel,KR_Trin1_Rente,Tidstabel[[#This Row],[År]]&gt;KR_Trin0_Tærskel,KR_Trin0_Rente)</f>
        <v>2.5000000000000001E-2</v>
      </c>
      <c r="D45" s="142" t="str" cm="1">
        <f t="array" ref="D45">IFERROR(
INDEX(Range_Materiale_ÅrligeEmissioner,MATCH(1,(Materialedata[Komponent]=FB_Titel)*(Materialedata[Materiale]=FB_Materiale),0),MATCH(Tidstabel[[#This Row],[År]],Range_Materiale_År,0)),BlankTegn)</f>
        <v>.</v>
      </c>
      <c r="E45" s="142" t="str" cm="1">
        <f t="array" ref="E45">IFERROR(
INDEX(Range_Materiale_ÅrligeEmissioner,MATCH(1,(Materialedata[Komponent]=SK_Titel)*(Materialedata[Materiale]=SK_Materiale),0),MATCH(Tidstabel[[#This Row],[År]],Range_Materiale_År,0)),BlankTegn)</f>
        <v>.</v>
      </c>
      <c r="F45" s="142" t="str" cm="1">
        <f t="array" ref="F45">IFERROR(
INDEX(Range_Materiale_ÅrligeEmissioner,MATCH(1,(Materialedata[Komponent]=EI_Titel)*(Materialedata[Materiale]=EI_Materiale),0),MATCH(Tidstabel[[#This Row],[År]],Range_Materiale_År,0)),BlankTegn)</f>
        <v>.</v>
      </c>
      <c r="G45" s="142" t="str" cm="1">
        <f t="array" ref="G45">IFERROR(
INDEX(Range_Materiale_ÅrligeEmissioner,MATCH(1,(Materialedata[Komponent]=AP_Titel)*(Materialedata[Materiale]=AP_Materiale),0),MATCH(Tidstabel[[#This Row],[År]],Range_Materiale_År,0)),BlankTegn)</f>
        <v>.</v>
      </c>
      <c r="H45" s="142" t="str" cm="1">
        <f t="array" ref="H45">IFERROR(
INDEX(Range_Materiale_ÅrligeEmissioner,MATCH(1,(Materialedata[Komponent]=VS_Titel)*(Materialedata[Materiale]=VS_Materiale),0),MATCH(Tidstabel[[#This Row],[År]],Range_Materiale_År,0)),BlankTegn)</f>
        <v>.</v>
      </c>
      <c r="I45" s="142" t="str">
        <f>IFERROR(
IF(SUM(Tidstabel[[#This Row],[Facadebeklædning]:[Vindspærre]])=0,BlankTegn,
SUM(Tidstabel[[#This Row],[Facadebeklædning]:[Vindspærre]])),BlankTegn)</f>
        <v>.</v>
      </c>
      <c r="J45" s="139">
        <f>IF(Tidstabel[[#This Row],[År]]&gt;Input_Tidshorisont,BlankTegn,
A5_ElVarmeBrændstofByggeplads)</f>
        <v>0.25</v>
      </c>
      <c r="K45" s="142" t="str">
        <f>IFERROR(IF(Tidstabel[[#This Row],[År]]&gt;Input_Tidshorisont,BlankTegn,
-1*INDEX(Range_Energi_ÅrligBesparelse,MATCH(Input_EksisterendeFacade,Energiberegning[Ydervæg],0),MATCH(Tidstabel[[#This Row],[Årstal]],Range_Energi_Årstal,0))),BlankTegn)</f>
        <v>.</v>
      </c>
      <c r="L45" s="142">
        <f>IF(Tidstabel[[#This Row],[År]]&gt;Input_Tidshorisont,BlankTegn,
(Tidstabel[[#This Row],[År]]+1)*(SUM(Vedligeholdelsesmaterialer[Facadefarve],Vedligeholdelsesmaterialer[Grunder og mellemmaling])/12+SUM(Vedligeholdelsesmaterialer[Puds])/30))</f>
        <v>12.669317147499999</v>
      </c>
      <c r="M45" s="142" t="str">
        <f>IFERROR(IF(Tidstabel[[#This Row],[År]]&gt;Input_Tidshorisont,BlankTegn,
Tidstabel[[#This Row],[Materialer_Total]]+Tidstabel[[#This Row],[Byggeprocess]]),BlankTegn)</f>
        <v>.</v>
      </c>
      <c r="N45" s="142" t="str">
        <f>IFERROR(IF(Tidstabel[[#This Row],[År]]&gt;Input_Tidshorisont,BlankTegn,
Tidstabel[[#This Row],[Energibesparelse]]+Tidstabel[[#This Row],[Emission_Brutto]]),BlankTegn)</f>
        <v>.</v>
      </c>
      <c r="O45" s="142" t="str">
        <f>IFERROR(IF(Tidstabel[[#This Row],[År]]&gt;Input_Tidshorisont,BlankTegn,
Tidstabel[[#This Row],[Emission_Netto]]-Tidstabel[[#This Row],[Vedligehold_EksisterendeFacade]]),BlankTegn)</f>
        <v>.</v>
      </c>
      <c r="P45" s="271" t="str">
        <f>IFERROR(IF(Tidstabel[[#This Row],[År]]&gt;Input_Tidshorisont,BlankTegn,
IF(AND(Tidstabel[[#This Row],[Emission_Netto]]-Tidstabel[[#This Row],[Vedligehold_EksisterendeFacade]]&gt;0,N46-L46&lt;0),-1,IF(AND(Tidstabel[[#This Row],[Emission_Netto]]-Tidstabel[[#This Row],[Vedligehold_EksisterendeFacade]]&lt;0,N46-L46&gt;0),1,0))),BlankTegn)</f>
        <v>.</v>
      </c>
      <c r="Q45" s="174" t="str">
        <f>IF(Tidstabel[[#This Row],[År]]&gt;Input_Tidshorisont,BlankTegn,
IF(Tidstabel[[#This Row],[LCA-Skæring]]=-1,SUM(Tidstabel[[#This Row],[År]]*(1-ABS(Tidstabel[[#This Row],[LCA-Difference]])/(ABS(Tidstabel[[#This Row],[LCA-Difference]])+ABS(O46))),A46*(1-ABS(O46)/(ABS(Tidstabel[[#This Row],[LCA-Difference]])+ABS(O46)))),"-"))</f>
        <v>-</v>
      </c>
      <c r="R45" s="174" t="str">
        <f>IF(Tidstabel[[#This Row],[År]]&gt;Input_Tidshorisont,BlankTegn,
IF(Tidstabel[[#This Row],[LCA-Skæring]]=-1,SUM(Tidstabel[[#This Row],[Emission_Netto]]*(1-ABS(Tidstabel[[#This Row],[LCA-Difference]])/(ABS(Tidstabel[[#This Row],[LCA-Difference]])+ABS(O46))),N46*(1-ABS(O46)/(ABS(Tidstabel[[#This Row],[LCA-Difference]])+ABS(O46)))),"-"))</f>
        <v>-</v>
      </c>
      <c r="S45" s="174" t="str">
        <f>IF(Tidstabel[[#This Row],[År]]&gt;Input_Tidshorisont,BlankTegn,
IF(Tidstabel[[#This Row],[LCA-Skæring]]=1,SUM(Tidstabel[[#This Row],[År]]*(1-ABS(Tidstabel[[#This Row],[LCA-Difference]])/(ABS(Tidstabel[[#This Row],[LCA-Difference]])+ABS(O46))),A46*(1-ABS(O46)/(ABS(Tidstabel[[#This Row],[LCA-Difference]])+ABS(O46)))),"-"))</f>
        <v>-</v>
      </c>
      <c r="T45" s="264" t="str">
        <f>IF(Tidstabel[[#This Row],[År]]&gt;Input_Tidshorisont,BlankTegn,
IF(Tidstabel[[#This Row],[LCA-Skæring]]=1,SUM(Tidstabel[[#This Row],[Emission_Netto]]*(1-ABS(Tidstabel[[#This Row],[LCA-Difference]])/(ABS(Tidstabel[[#This Row],[LCA-Difference]])+ABS(O46))),N46*(1-ABS(O46)/(ABS(Tidstabel[[#This Row],[LCA-Difference]])+ABS(O46)))),"-"))</f>
        <v>-</v>
      </c>
      <c r="U45" s="142" t="str">
        <f ca="1">IFERROR(IF(Tidstabel[[#This Row],[År]]&gt;Input_Tidshorisont,BlankTegn,
Tidstabel[[#This Row],[NPV_Klimafacade]]-Tidstabel[[#This Row],[NPV_Eksisterende]]),BlankTegn)</f>
        <v>.</v>
      </c>
      <c r="V45" s="271" t="str">
        <f ca="1">IFERROR(IF(Tidstabel[[#This Row],[År]]&gt;Input_Tidshorisont,BlankTegn,
IF(AND(Tidstabel[[#This Row],[NPV_Klimafacade]]-Tidstabel[[#This Row],[NPV_Eksisterende]]&gt;0,AB46-AA46&lt;0),1,IF(AND(Tidstabel[[#This Row],[NPV_Klimafacade]]-Tidstabel[[#This Row],[NPV_Eksisterende]]&lt;0,AB46-AA46&gt;0),-1,0))),BlankTegn)</f>
        <v>.</v>
      </c>
      <c r="W45" s="174" t="str">
        <f ca="1">IF(Tidstabel[[#This Row],[År]]&gt;Input_Tidshorisont,BlankTegn,
IF(Tidstabel[[#This Row],[LCC-Skæring]]=-1,SUM(Tidstabel[[#This Row],[År]]*(1-ABS(Tidstabel[[#This Row],[LCC-Difference]])/(ABS(Tidstabel[[#This Row],[LCC-Difference]])+ABS(U46))),A46*(1-ABS(U46)/(ABS(Tidstabel[[#This Row],[LCC-Difference]])+ABS(U46)))),"-"))</f>
        <v>-</v>
      </c>
      <c r="X45" s="174" t="str">
        <f ca="1">IF(Tidstabel[[#This Row],[År]]&gt;Input_Tidshorisont,BlankTegn,
IF(Tidstabel[[#This Row],[LCC-Skæring]]=-1,SUM(Tidstabel[[#This Row],[NPV_Klimafacade]]*(1-ABS(Tidstabel[[#This Row],[LCC-Difference]])/(ABS(Tidstabel[[#This Row],[LCC-Difference]])+ABS(U46))),AB46*(1-ABS(U46)/(ABS(Tidstabel[[#This Row],[LCC-Difference]])+ABS(U46)))),"-"))</f>
        <v>-</v>
      </c>
      <c r="Y45" s="174" t="str">
        <f ca="1">IF(Tidstabel[[#This Row],[År]]&gt;Input_Tidshorisont,BlankTegn,
IF(Tidstabel[[#This Row],[LCC-Skæring]]=1,SUM(Tidstabel[[#This Row],[År]]*(1-ABS(Tidstabel[[#This Row],[LCC-Difference]])/(ABS(Tidstabel[[#This Row],[LCC-Difference]])+ABS(U46))),A46*(1-ABS(U46)/(ABS(Tidstabel[[#This Row],[LCC-Difference]])+ABS(U46)))),"-"))</f>
        <v>-</v>
      </c>
      <c r="Z45" s="264" t="str">
        <f ca="1">IF(Tidstabel[[#This Row],[År]]&gt;Input_Tidshorisont,BlankTegn,
IF(Tidstabel[[#This Row],[LCC-Skæring]]=1,SUM(Tidstabel[[#This Row],[NPV_Klimafacade]]*(1-ABS(Tidstabel[[#This Row],[LCC-Difference]])/(ABS(Tidstabel[[#This Row],[LCC-Difference]])+ABS(U46))),AB46*(1-ABS(U46)/(ABS(Tidstabel[[#This Row],[LCC-Difference]])+ABS(U46)))),"-"))</f>
        <v>-</v>
      </c>
      <c r="AA45" s="142">
        <f ca="1">IF(Tidstabel[[#This Row],[År]]&gt;Input_Tidshorisont,BlankTegn,
Tidstabel[[#This Row],[EF_Vedligehold_Aggregeret]])</f>
        <v>-236.4356236681285</v>
      </c>
      <c r="AB45"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45" s="142" t="str">
        <f>IFERROR(IF(Tidstabel[[#This Row],[År]]&gt;Input_Tidshorisont,BlankTegn,
Tidstabel[[#This Row],[KF_Anskaffelse_Aggregeret]]+Tidstabel[[#This Row],[KF_Engangsudgifter_Aggregeret]]),BlankTegn)</f>
        <v>.</v>
      </c>
      <c r="AD45" s="174">
        <f ca="1">IFERROR(IF(Tidstabel[[#This Row],[År]]&gt;Input_Tidshorisont,BlankTegn,
IF(Tidstabel[[#This Row],[År]]=0,0,Tidstabel[[#This Row],[NPV_Eksisterende]]*(Tidstabel[[#This Row],[Kalkulationsrente]]/(1-(1+Tidstabel[[#This Row],[Kalkulationsrente]])^-Tidstabel[[#This Row],[År]])))),BlankTegn)</f>
        <v>-9.7104389639296009</v>
      </c>
      <c r="AE45" s="264" t="str">
        <f ca="1">IFERROR(IF(Tidstabel[[#This Row],[År]]&gt;Input_Tidshorisont,BlankTegn,
IF(Tidstabel[[#This Row],[År]]=0,0,Tidstabel[[#This Row],[NPV_Klimafacade]]*(Tidstabel[[#This Row],[Kalkulationsrente]]/(1-(1+Tidstabel[[#This Row],[Kalkulationsrente]])^-Tidstabel[[#This Row],[År]])))),BlankTegn)</f>
        <v>.</v>
      </c>
      <c r="AF45" s="270">
        <f ca="1">IF(Tidstabel[[#This Row],[År]]&gt;Input_Tidshorisont,BlankTegn,
IF(EF_Vedligehold_i=1,IF(Tidstabel[[#This Row],[EF_Uds?]]=0,1,0),IF(MAX(AF44:OFFSET(AG44,2-EF_Vedligehold_i,0),Tidstabel[[#This Row],[EF_Uds?]])=0,1,0)))</f>
        <v>1</v>
      </c>
      <c r="AG45" s="181">
        <f>IF(Tidstabel[[#This Row],[År]]&gt;Input_Tidshorisont,BlankTegn,0)</f>
        <v>0</v>
      </c>
      <c r="AH45" s="263">
        <f ca="1">IF(Tidstabel[[#This Row],[År]]&gt;Input_Tidshorisont,BlankTegn,
Tidstabel[[#This Row],[EF_Ved?]]*EF_Vedligehold_p*-EF_Enhedspris*((1+Tidstabel[[#This Row],[Kalkulationsrente]])^-Tidstabel[[#This Row],[År]])*((1+PrisudviklingGenerelt)^Tidstabel[[#This Row],[År]]))</f>
        <v>-4.16651279506371</v>
      </c>
      <c r="AI45" s="262">
        <f ca="1">IF(Tidstabel[[#This Row],[År]]&gt;Input_Tidshorisont,BlankTegn,
IF(Tidstabel[[#This Row],[År]]=0,Tidstabel[[#This Row],[EF_Vedligehold]],AI44+Tidstabel[[#This Row],[EF_Vedligehold]]))</f>
        <v>-236.4356236681285</v>
      </c>
      <c r="AJ45" s="245">
        <f>IFERROR(IF(Tidstabel[[#This Row],[År]]&gt;Input_Tidshorisont,BlankTegn,
Tidstabel[[#This Row],[FB_Anskaffelse]]+Tidstabel[[#This Row],[VS_Anskaffelse]]+Tidstabel[[#This Row],[EI_Anskaffelse]]+Tidstabel[[#This Row],[AP_Anskaffelse]]+Tidstabel[[#This Row],[SK_Anskaffelse]]),BlankTegn)</f>
        <v>0</v>
      </c>
      <c r="AK45" s="245" t="str">
        <f>IFERROR(IF(Tidstabel[[#This Row],[År]]&gt;Input_Tidshorisont,BlankTegn,
IF(Tidstabel[[#This Row],[År]]=0,Tidstabel[[#This Row],[KF_Anskaffelse]],AK44+Tidstabel[[#This Row],[KF_Anskaffelse]])),BlankTegn)</f>
        <v>.</v>
      </c>
      <c r="AL45" s="246" t="str">
        <f ca="1">IFERROR(IF(Tidstabel[[#This Row],[År]]&gt;Input_Tidshorisont,BlankTegn,
Tidstabel[[#This Row],[FB_Vedligehold]]+Tidstabel[[#This Row],[VS_Vedligehold]]+Tidstabel[[#This Row],[EI_Vedligehold]]+Tidstabel[[#This Row],[AP_Vedligehold]]+Tidstabel[[#This Row],[SK_Vedligehold]]),BlankTegn)</f>
        <v>.</v>
      </c>
      <c r="AM45" s="245" t="str">
        <f ca="1">IFERROR(IF(Tidstabel[[#This Row],[År]]&gt;Input_Tidshorisont,BlankTegn,
IF(Tidstabel[[#This Row],[År]]=0,Tidstabel[[#This Row],[KF_Vedligehold]],AM44+Tidstabel[[#This Row],[KF_Vedligehold]])),BlankTegn)</f>
        <v>.</v>
      </c>
      <c r="AN45"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45"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45" s="245" t="str">
        <f>IFERROR(IF(Tidstabel[[#This Row],[År]]&gt;Input_Tidshorisont,BlankTegn,
IF(Tidstabel[[#This Row],[År]]=0,Tidstabel[[#This Row],[KF_Udskiftning_Komponent]],AP44+Tidstabel[[#This Row],[KF_Udskiftning_Komponent]])),BlankTegn)</f>
        <v>.</v>
      </c>
      <c r="AQ45" s="245">
        <f>IF(Tidstabel[[#This Row],[År]]&gt;Input_Tidshorisont,BlankTegn,
IF(Tidstabel[[#This Row],[År]]=0,-SUM(Engangsudgifter[Udgift]),0))</f>
        <v>0</v>
      </c>
      <c r="AR45" s="245">
        <f>IFERROR(IF(Tidstabel[[#This Row],[År]]&gt;Input_Tidshorisont,BlankTegn,
IF(Tidstabel[[#This Row],[År]]=0,Tidstabel[[#This Row],[KF_Engangsudgifter]],AR44+Tidstabel[[#This Row],[KF_Engangsudgifter]])),BlankTegn)</f>
        <v>0</v>
      </c>
      <c r="AS45" s="315" t="str">
        <f>IFERROR(IF(Tidstabel[[#This Row],[År]]&gt;Input_Tidshorisont,BlankTegn,
-Energibesparelse_Årlig),BlankTegn)</f>
        <v>.</v>
      </c>
      <c r="AT45" s="245" t="str">
        <f>IFERROR(IF(Tidstabel[[#This Row],[År]]&gt;Input_Tidshorisont,BlankTegn,
IF(Tidstabel[[#This Row],[År]]=0,0,-Tidstabel[[#This Row],[KF_Energiforbrug]]*Input_Fjernvarmepris*((1+Tidstabel[[#This Row],[Kalkulationsrente]])^-Tidstabel[[#This Row],[År]])*((1+PrisudviklingFjernvarme)^Tidstabel[[#This Row],[År]]))),BlankTegn)</f>
        <v>.</v>
      </c>
      <c r="AU45" s="262" t="str">
        <f>IFERROR(IF(Tidstabel[[#This Row],[År]]&gt;Input_Tidshorisont,BlankTegn,
IF(Tidstabel[[#This Row],[År]]=0,Tidstabel[[#This Row],[KF_Forsyning]],AU44+Tidstabel[[#This Row],[KF_Forsyning]])),BlankTegn)</f>
        <v>.</v>
      </c>
      <c r="AV45" s="245">
        <f>IFERROR(IF(Tidstabel[[#This Row],[År]]&gt;Input_Tidshorisont,BlankTegn,
IF(Tidstabel[[#This Row],[År]]=0,-FB_Enhedspris,0)),BlankTegn)</f>
        <v>0</v>
      </c>
      <c r="AW45" s="245" t="str">
        <f>IFERROR(IF(Tidstabel[[#This Row],[År]]&gt;Input_Tidshorisont,BlankTegn,
IF(Tidstabel[[#This Row],[År]]=0,FB_Enhedspris/FB_Levetid,AW44*((1+Tidstabel[[#This Row],[Kalkulationsrente]])^-1)*((1+PrisudviklingGenerelt)^1))),BlankTegn)</f>
        <v>.</v>
      </c>
      <c r="AX45" s="178" t="str">
        <f ca="1">IFERROR(IF(Tidstabel[[#This Row],[År]]&gt;Input_Tidshorisont,BlankTegn,
IF(FB_Vedligehold_i=1,IF(Tidstabel[[#This Row],[FB_Uds?]]=0,1,0),IF(MAX(AX44:OFFSET(AY44,2-FB_Vedligehold_i,0),Tidstabel[[#This Row],[FB_Uds?]])=0,1,0))),BlankTegn)</f>
        <v>.</v>
      </c>
      <c r="AY45" s="178" t="str">
        <f>IFERROR(IF(Tidstabel[[#This Row],[År]]&gt;Input_Tidshorisont,BlankTegn,
IF(Tidstabel[[#This Row],[År]]=0,1,IF(MOD(Tidstabel[[#This Row],[År]],FB_Levetid)=0,1,IF(Tidstabel[[#This Row],[År]]=Input_Tidshorisont,0,0)))),BlankTegn)</f>
        <v>.</v>
      </c>
      <c r="AZ45" s="245" t="str">
        <f ca="1">IFERROR(IF(Tidstabel[[#This Row],[År]]&gt;Input_Tidshorisont,BlankTegn,
FB_Vedligehold_p*-FB_Enhedspris*Tidstabel[[#This Row],[FB_Ved?]]*((1+Tidstabel[[#This Row],[Kalkulationsrente]])^-Tidstabel[[#This Row],[År]])*((1+PrisudviklingGenerelt)^Tidstabel[[#This Row],[År]])),BlankTegn)</f>
        <v>.</v>
      </c>
      <c r="BA45" s="245" t="str">
        <f>IFERROR(IF(Tidstabel[[#This Row],[År]]&gt;Input_Tidshorisont,BlankTegn,
IF(Tidstabel[[#This Row],[År]]=0,FB_Enhedspris,SUM(BA44:BB44)*((1+Tidstabel[[#This Row],[Kalkulationsrente]])^-1)*((1+PrisudviklingGenerelt)^1)-Tidstabel[[#This Row],[FB_Afskrivning]])),BlankTegn)</f>
        <v>.</v>
      </c>
      <c r="BB45" s="245" t="str">
        <f>IFERROR(IF(Tidstabel[[#This Row],[År]]&gt;Input_Tidshorisont,BlankTegn,
IF(Tidstabel[[#This Row],[År]]=0,0,Tidstabel[[#This Row],[FB_Uds?]]*FB_Enhedspris*((1+Tidstabel[[#This Row],[Kalkulationsrente]])^-Tidstabel[[#This Row],[År]])*((1+PrisudviklingGenerelt)^Tidstabel[[#This Row],[År]]))),BlankTegn)</f>
        <v>.</v>
      </c>
      <c r="BC45" s="262" t="str">
        <f>IFERROR(IF(Tidstabel[[#This Row],[År]]&gt;Input_Tidshorisont,BlankTegn,
IF(Tidstabel[[#This Row],[År]]=0,0,Tidstabel[[#This Row],[FB_Uds?]]*-FB_Enhedspris*FB_Genoprettelse*((1+Tidstabel[[#This Row],[Kalkulationsrente]])^-Tidstabel[[#This Row],[År]])*((1+PrisudviklingGenerelt)^Tidstabel[[#This Row],[År]]))),BlankTegn)</f>
        <v>.</v>
      </c>
      <c r="BD45" s="245">
        <f>IFERROR(IF(Tidstabel[[#This Row],[År]]&gt;Input_Tidshorisont,BlankTegn,
IF(Tidstabel[[#This Row],[År]]=0,-VS_Enhedspris,0)),BlankTegn)</f>
        <v>0</v>
      </c>
      <c r="BE45" s="245" t="str">
        <f>IFERROR(IF(Tidstabel[[#This Row],[År]]&gt;Input_Tidshorisont,BlankTegn,
IF(Tidstabel[[#This Row],[År]]=0,VS_Enhedspris/VS_Levetid,BE44*((1+Tidstabel[[#This Row],[Kalkulationsrente]])^-1)*((1+PrisudviklingGenerelt)^1))),BlankTegn)</f>
        <v>.</v>
      </c>
      <c r="BF45" s="178" t="str">
        <f ca="1">IFERROR(IF(Tidstabel[[#This Row],[År]]&gt;Input_Tidshorisont,BlankTegn,
IF(VS_Vedligehold_i=1,IF(Tidstabel[[#This Row],[VS_Uds?]]=0,1,0),IF(MAX(BF44:OFFSET(BG44,2-VS_Vedligehold_i,0),Tidstabel[[#This Row],[VS_Uds?]])=0,1,0))),BlankTegn)</f>
        <v>.</v>
      </c>
      <c r="BG45" s="178" t="str">
        <f>IFERROR(IF(Tidstabel[[#This Row],[År]]&gt;Input_Tidshorisont,BlankTegn,
IF(Tidstabel[[#This Row],[År]]=0,1,IF(MOD(Tidstabel[[#This Row],[År]],VS_Levetid)=0,1,IF(Tidstabel[[#This Row],[År]]=Input_Tidshorisont,0,0)))),BlankTegn)</f>
        <v>.</v>
      </c>
      <c r="BH45" s="245" t="str">
        <f ca="1">IFERROR(IF(Tidstabel[[#This Row],[År]]&gt;Input_Tidshorisont,BlankTegn,
VS_Vedligehold_p*-VS_Enhedspris*Tidstabel[[#This Row],[VS_Ved?]]*((1+Tidstabel[[#This Row],[Kalkulationsrente]])^-Tidstabel[[#This Row],[År]])*((1+PrisudviklingGenerelt)^Tidstabel[[#This Row],[År]])),BlankTegn)</f>
        <v>.</v>
      </c>
      <c r="BI45" s="245" t="str">
        <f>IFERROR(IF(Tidstabel[[#This Row],[År]]&gt;Input_Tidshorisont,BlankTegn,
IF(Tidstabel[[#This Row],[År]]=0,VS_Enhedspris,SUM(BI44:BJ44)*((1+Tidstabel[[#This Row],[Kalkulationsrente]])^-1)*((1+PrisudviklingGenerelt)^1)-Tidstabel[[#This Row],[VS_Afskrivning]])),BlankTegn)</f>
        <v>.</v>
      </c>
      <c r="BJ45" s="245" t="str">
        <f>IFERROR(IF(Tidstabel[[#This Row],[År]]&gt;Input_Tidshorisont,BlankTegn,
IF(Tidstabel[[#This Row],[År]]=0,0,Tidstabel[[#This Row],[VS_Uds?]]*VS_Enhedspris*((1+Tidstabel[[#This Row],[Kalkulationsrente]])^-Tidstabel[[#This Row],[År]])*((1+PrisudviklingGenerelt)^Tidstabel[[#This Row],[År]]))),BlankTegn)</f>
        <v>.</v>
      </c>
      <c r="BK45" s="262" t="str">
        <f>IFERROR(IF(Tidstabel[[#This Row],[År]]&gt;Input_Tidshorisont,BlankTegn,
IF(Tidstabel[[#This Row],[År]]=0,0,Tidstabel[[#This Row],[VS_Uds?]]*-VS_Enhedspris*VS_Genoprettelse*((1+Tidstabel[[#This Row],[Kalkulationsrente]])^-Tidstabel[[#This Row],[År]])*((1+PrisudviklingGenerelt)^Tidstabel[[#This Row],[År]]))),BlankTegn)</f>
        <v>.</v>
      </c>
      <c r="BL45" s="245">
        <f>IFERROR(IF(Tidstabel[[#This Row],[År]]&gt;Input_Tidshorisont,BlankTegn,
IF(Tidstabel[[#This Row],[År]]=0,-EI_Enhedspris,0)),BlankTegn)</f>
        <v>0</v>
      </c>
      <c r="BM45" s="245" t="str">
        <f>IFERROR(IF(Tidstabel[[#This Row],[År]]&gt;Input_Tidshorisont,BlankTegn,
IF(Tidstabel[[#This Row],[År]]=0,EI_Enhedspris/EI_Levetid,BM44*((1+Tidstabel[[#This Row],[Kalkulationsrente]])^-1)*((1+PrisudviklingGenerelt)^1))),BlankTegn)</f>
        <v>.</v>
      </c>
      <c r="BN45" s="178" t="str">
        <f ca="1">IFERROR(IF(Tidstabel[[#This Row],[År]]&gt;Input_Tidshorisont,BlankTegn,
IF(EI_Vedligehold_i=1,IF(Tidstabel[[#This Row],[EI_Uds?]]=0,1,0),IF(MAX(BN44:OFFSET(BO44,2-EI_Vedligehold_i,0),Tidstabel[[#This Row],[EI_Uds?]])=0,1,0))),BlankTegn)</f>
        <v>.</v>
      </c>
      <c r="BO45" s="178" t="str">
        <f>IFERROR(IF(Tidstabel[[#This Row],[År]]&gt;Input_Tidshorisont,BlankTegn,
IF(Tidstabel[[#This Row],[År]]=0,1,IF(MOD(Tidstabel[[#This Row],[År]],EI_Levetid)=0,1,IF(Tidstabel[[#This Row],[År]]=Input_Tidshorisont,0,0)))),BlankTegn)</f>
        <v>.</v>
      </c>
      <c r="BP45" s="245" t="str">
        <f ca="1">IFERROR(IF(Tidstabel[[#This Row],[År]]&gt;Input_Tidshorisont,BlankTegn,
EI_Vedligehold_p*-EI_Enhedspris*Tidstabel[[#This Row],[EI_Ved?]]*((1+Tidstabel[[#This Row],[Kalkulationsrente]])^-Tidstabel[[#This Row],[År]])*((1+PrisudviklingGenerelt)^Tidstabel[[#This Row],[År]])),BlankTegn)</f>
        <v>.</v>
      </c>
      <c r="BQ45" s="245" t="str">
        <f>IFERROR(IF(Tidstabel[[#This Row],[År]]&gt;Input_Tidshorisont,BlankTegn,
IF(Tidstabel[[#This Row],[År]]=0,EI_Enhedspris,SUM(BQ44:BR44)*((1+Tidstabel[[#This Row],[Kalkulationsrente]])^-1)*((1+PrisudviklingGenerelt)^1)-Tidstabel[[#This Row],[EI_Afskrivning]])),BlankTegn)</f>
        <v>.</v>
      </c>
      <c r="BR45" s="245" t="str">
        <f>IFERROR(IF(Tidstabel[[#This Row],[År]]&gt;Input_Tidshorisont,BlankTegn,
IF(Tidstabel[[#This Row],[År]]=0,0,Tidstabel[[#This Row],[EI_Uds?]]*EI_Enhedspris*((1+Tidstabel[[#This Row],[Kalkulationsrente]])^-Tidstabel[[#This Row],[År]])*((1+PrisudviklingGenerelt)^Tidstabel[[#This Row],[År]]))),BlankTegn)</f>
        <v>.</v>
      </c>
      <c r="BS45" s="262" t="str">
        <f>IFERROR(IF(Tidstabel[[#This Row],[År]]&gt;Input_Tidshorisont,BlankTegn,
IF(Tidstabel[[#This Row],[År]]=0,0,Tidstabel[[#This Row],[EI_Uds?]]*-EI_Enhedspris*EI_Genoprettelse*((1+Tidstabel[[#This Row],[Kalkulationsrente]])^-Tidstabel[[#This Row],[År]])*((1+PrisudviklingGenerelt)^Tidstabel[[#This Row],[År]]))),BlankTegn)</f>
        <v>.</v>
      </c>
      <c r="BT45" s="245">
        <f>IFERROR(IF(Tidstabel[[#This Row],[År]]&gt;Input_Tidshorisont,BlankTegn,
IF(Tidstabel[[#This Row],[År]]=0,-AP_Enhedspris,0)),BlankTegn)</f>
        <v>0</v>
      </c>
      <c r="BU45" s="245" t="str">
        <f>IFERROR(IF(Tidstabel[[#This Row],[År]]&gt;Input_Tidshorisont,BlankTegn,
IF(Tidstabel[[#This Row],[År]]=0,AP_Enhedspris/AP_Levetid,BU44*((1+Tidstabel[[#This Row],[Kalkulationsrente]])^-1)*((1+PrisudviklingGenerelt)^1))),BlankTegn)</f>
        <v>.</v>
      </c>
      <c r="BV45" s="178" t="str">
        <f ca="1">IFERROR(IF(Tidstabel[[#This Row],[År]]&gt;Input_Tidshorisont,BlankTegn,
IF(AP_Vedligehold_i=1,IF(Tidstabel[[#This Row],[AP_Uds?]]=0,1,0),IF(MAX(BV44:OFFSET(BW44,2-AP_Vedligehold_i,0),Tidstabel[[#This Row],[AP_Uds?]])=0,1,0))),BlankTegn)</f>
        <v>.</v>
      </c>
      <c r="BW45" s="178" t="str">
        <f>IFERROR(IF(Tidstabel[[#This Row],[År]]&gt;Input_Tidshorisont,BlankTegn,
IF(Tidstabel[[#This Row],[År]]=0,1,IF(MOD(Tidstabel[[#This Row],[År]],AP_Levetid)=0,1,IF(Tidstabel[[#This Row],[År]]=Input_Tidshorisont,0,0)))),BlankTegn)</f>
        <v>.</v>
      </c>
      <c r="BX45" s="245" t="str">
        <f ca="1">IFERROR(IF(Tidstabel[[#This Row],[År]]&gt;Input_Tidshorisont,BlankTegn,
AP_Vedligehold_p*-AP_Enhedspris*Tidstabel[[#This Row],[AP_Ved?]]*((1+Tidstabel[[#This Row],[Kalkulationsrente]])^-Tidstabel[[#This Row],[År]])*((1+PrisudviklingGenerelt)^Tidstabel[[#This Row],[År]])),BlankTegn)</f>
        <v>.</v>
      </c>
      <c r="BY45" s="245" t="str">
        <f>IFERROR(IF(Tidstabel[[#This Row],[År]]&gt;Input_Tidshorisont,BlankTegn,
IF(Tidstabel[[#This Row],[År]]=0,AP_Enhedspris,SUM(BY44:BZ44)*((1+Tidstabel[[#This Row],[Kalkulationsrente]])^-1)*((1+PrisudviklingGenerelt)^1)-Tidstabel[[#This Row],[AP_Afskrivning]])),BlankTegn)</f>
        <v>.</v>
      </c>
      <c r="BZ45" s="245" t="str">
        <f>IFERROR(IF(Tidstabel[[#This Row],[År]]&gt;Input_Tidshorisont,BlankTegn,
IF(Tidstabel[[#This Row],[År]]=0,0,Tidstabel[[#This Row],[AP_Uds?]]*AP_Enhedspris*((1+Tidstabel[[#This Row],[Kalkulationsrente]])^-Tidstabel[[#This Row],[År]])*((1+PrisudviklingGenerelt)^Tidstabel[[#This Row],[År]]))),BlankTegn)</f>
        <v>.</v>
      </c>
      <c r="CA45" s="262" t="str">
        <f>IFERROR(IF(Tidstabel[[#This Row],[År]]&gt;Input_Tidshorisont,BlankTegn,
IF(Tidstabel[[#This Row],[År]]=0,0,Tidstabel[[#This Row],[AP_Uds?]]*-AP_Enhedspris*AP_Genoprettelse*((1+Tidstabel[[#This Row],[Kalkulationsrente]])^-Tidstabel[[#This Row],[År]])*((1+PrisudviklingGenerelt)^Tidstabel[[#This Row],[År]]))),BlankTegn)</f>
        <v>.</v>
      </c>
      <c r="CB45" s="245">
        <f>IFERROR(IF(Tidstabel[[#This Row],[År]]&gt;Input_Tidshorisont,BlankTegn,
IF(Tidstabel[[#This Row],[År]]=0,-SK_Enhedspris,0)),BlankTegn)</f>
        <v>0</v>
      </c>
      <c r="CC45" s="245" t="str">
        <f>IFERROR(IF(Tidstabel[[#This Row],[År]]&gt;Input_Tidshorisont,BlankTegn,
IF(Tidstabel[[#This Row],[År]]=0,SK_Enhedspris/SK_Levetid,CC44*((1+Tidstabel[[#This Row],[Kalkulationsrente]])^-1)*((1+PrisudviklingGenerelt)^1))),BlankTegn)</f>
        <v>.</v>
      </c>
      <c r="CD45" s="178" t="str">
        <f ca="1">IFERROR(IF(Tidstabel[[#This Row],[År]]&gt;Input_Tidshorisont,BlankTegn,
IF(SK_Vedligehold_i=1,IF(Tidstabel[[#This Row],[SK_Uds?]]=0,1,0),IF(MAX(CD44:OFFSET(CE44,2-SK_Vedligehold_i,0),Tidstabel[[#This Row],[SK_Uds?]])=0,1,0))),BlankTegn)</f>
        <v>.</v>
      </c>
      <c r="CE45" s="178" t="str">
        <f>IFERROR(IF(Tidstabel[[#This Row],[År]]&gt;Input_Tidshorisont,BlankTegn,
IF(Tidstabel[[#This Row],[År]]=0,1,IF(MOD(Tidstabel[[#This Row],[År]],SK_Levetid)=0,1,IF(Tidstabel[[#This Row],[År]]=Input_Tidshorisont,0,0)))),BlankTegn)</f>
        <v>.</v>
      </c>
      <c r="CF45" s="245" t="str">
        <f ca="1">IFERROR(IF(Tidstabel[[#This Row],[År]]&gt;Input_Tidshorisont,BlankTegn,
SK_Vedligehold_p*-SK_Enhedspris*Tidstabel[[#This Row],[SK_Ved?]]*((1+Tidstabel[[#This Row],[Kalkulationsrente]])^-Tidstabel[[#This Row],[År]])*((1+PrisudviklingGenerelt)^Tidstabel[[#This Row],[År]])),BlankTegn)</f>
        <v>.</v>
      </c>
      <c r="CG45" s="245" t="str">
        <f>IFERROR(IF(Tidstabel[[#This Row],[År]]&gt;Input_Tidshorisont,BlankTegn,
IF(Tidstabel[[#This Row],[År]]=0,SK_Enhedspris,SUM(CG44:CH44)*((1+Tidstabel[[#This Row],[Kalkulationsrente]])^-1)*((1+PrisudviklingGenerelt)^1)-Tidstabel[[#This Row],[SK_Afskrivning]])),BlankTegn)</f>
        <v>.</v>
      </c>
      <c r="CH45" s="245" t="str">
        <f>IFERROR(IF(Tidstabel[[#This Row],[År]]&gt;Input_Tidshorisont,BlankTegn,
IF(Tidstabel[[#This Row],[År]]=0,0,Tidstabel[[#This Row],[SK_Uds?]]*SK_Enhedspris*((1+Tidstabel[[#This Row],[Kalkulationsrente]])^-Tidstabel[[#This Row],[År]])*((1+PrisudviklingGenerelt)^Tidstabel[[#This Row],[År]]))),BlankTegn)</f>
        <v>.</v>
      </c>
      <c r="CI45" s="262" t="str">
        <f>IFERROR(IF(Tidstabel[[#This Row],[År]]&gt;Input_Tidshorisont,BlankTegn,
IF(Tidstabel[[#This Row],[År]]=0,0,Tidstabel[[#This Row],[SK_Uds?]]*-SK_Enhedspris*SK_Genoprettelse*((1+Tidstabel[[#This Row],[Kalkulationsrente]])^-Tidstabel[[#This Row],[År]])*((1+PrisudviklingGenerelt)^Tidstabel[[#This Row],[År]]))),BlankTegn)</f>
        <v>.</v>
      </c>
      <c r="CJ45" s="19"/>
    </row>
    <row r="46" spans="1:88">
      <c r="A46" s="250">
        <v>39</v>
      </c>
      <c r="B46" s="250">
        <f>Input_Etableringsår+Tidstabel[[#This Row],[År]]</f>
        <v>2063</v>
      </c>
      <c r="C46" s="274" cm="1">
        <f t="array" ref="C46">_xlfn.IFS(Tidstabel[[#This Row],[År]]&gt;KR_Trin3_Tærskel,KR_Trin3_Rente,Tidstabel[[#This Row],[År]]&gt;KR_Trin2_Tærskel,KR_Trin2_Rente,Tidstabel[[#This Row],[År]]&gt;KR_Trin1_Tærskel,KR_Trin1_Rente,Tidstabel[[#This Row],[År]]&gt;KR_Trin0_Tærskel,KR_Trin0_Rente)</f>
        <v>2.5000000000000001E-2</v>
      </c>
      <c r="D46" s="142" t="str" cm="1">
        <f t="array" ref="D46">IFERROR(
INDEX(Range_Materiale_ÅrligeEmissioner,MATCH(1,(Materialedata[Komponent]=FB_Titel)*(Materialedata[Materiale]=FB_Materiale),0),MATCH(Tidstabel[[#This Row],[År]],Range_Materiale_År,0)),BlankTegn)</f>
        <v>.</v>
      </c>
      <c r="E46" s="142" t="str" cm="1">
        <f t="array" ref="E46">IFERROR(
INDEX(Range_Materiale_ÅrligeEmissioner,MATCH(1,(Materialedata[Komponent]=SK_Titel)*(Materialedata[Materiale]=SK_Materiale),0),MATCH(Tidstabel[[#This Row],[År]],Range_Materiale_År,0)),BlankTegn)</f>
        <v>.</v>
      </c>
      <c r="F46" s="142" t="str" cm="1">
        <f t="array" ref="F46">IFERROR(
INDEX(Range_Materiale_ÅrligeEmissioner,MATCH(1,(Materialedata[Komponent]=EI_Titel)*(Materialedata[Materiale]=EI_Materiale),0),MATCH(Tidstabel[[#This Row],[År]],Range_Materiale_År,0)),BlankTegn)</f>
        <v>.</v>
      </c>
      <c r="G46" s="142" t="str" cm="1">
        <f t="array" ref="G46">IFERROR(
INDEX(Range_Materiale_ÅrligeEmissioner,MATCH(1,(Materialedata[Komponent]=AP_Titel)*(Materialedata[Materiale]=AP_Materiale),0),MATCH(Tidstabel[[#This Row],[År]],Range_Materiale_År,0)),BlankTegn)</f>
        <v>.</v>
      </c>
      <c r="H46" s="142" t="str" cm="1">
        <f t="array" ref="H46">IFERROR(
INDEX(Range_Materiale_ÅrligeEmissioner,MATCH(1,(Materialedata[Komponent]=VS_Titel)*(Materialedata[Materiale]=VS_Materiale),0),MATCH(Tidstabel[[#This Row],[År]],Range_Materiale_År,0)),BlankTegn)</f>
        <v>.</v>
      </c>
      <c r="I46" s="142" t="str">
        <f>IFERROR(
IF(SUM(Tidstabel[[#This Row],[Facadebeklædning]:[Vindspærre]])=0,BlankTegn,
SUM(Tidstabel[[#This Row],[Facadebeklædning]:[Vindspærre]])),BlankTegn)</f>
        <v>.</v>
      </c>
      <c r="J46" s="139">
        <f>IF(Tidstabel[[#This Row],[År]]&gt;Input_Tidshorisont,BlankTegn,
A5_ElVarmeBrændstofByggeplads)</f>
        <v>0.25</v>
      </c>
      <c r="K46" s="142" t="str">
        <f>IFERROR(IF(Tidstabel[[#This Row],[År]]&gt;Input_Tidshorisont,BlankTegn,
-1*INDEX(Range_Energi_ÅrligBesparelse,MATCH(Input_EksisterendeFacade,Energiberegning[Ydervæg],0),MATCH(Tidstabel[[#This Row],[Årstal]],Range_Energi_Årstal,0))),BlankTegn)</f>
        <v>.</v>
      </c>
      <c r="L46" s="142">
        <f>IF(Tidstabel[[#This Row],[År]]&gt;Input_Tidshorisont,BlankTegn,
(Tidstabel[[#This Row],[År]]+1)*(SUM(Vedligeholdelsesmaterialer[Facadefarve],Vedligeholdelsesmaterialer[Grunder og mellemmaling])/12+SUM(Vedligeholdelsesmaterialer[Puds])/30))</f>
        <v>12.994171433333332</v>
      </c>
      <c r="M46" s="142" t="str">
        <f>IFERROR(IF(Tidstabel[[#This Row],[År]]&gt;Input_Tidshorisont,BlankTegn,
Tidstabel[[#This Row],[Materialer_Total]]+Tidstabel[[#This Row],[Byggeprocess]]),BlankTegn)</f>
        <v>.</v>
      </c>
      <c r="N46" s="142" t="str">
        <f>IFERROR(IF(Tidstabel[[#This Row],[År]]&gt;Input_Tidshorisont,BlankTegn,
Tidstabel[[#This Row],[Energibesparelse]]+Tidstabel[[#This Row],[Emission_Brutto]]),BlankTegn)</f>
        <v>.</v>
      </c>
      <c r="O46" s="142" t="str">
        <f>IFERROR(IF(Tidstabel[[#This Row],[År]]&gt;Input_Tidshorisont,BlankTegn,
Tidstabel[[#This Row],[Emission_Netto]]-Tidstabel[[#This Row],[Vedligehold_EksisterendeFacade]]),BlankTegn)</f>
        <v>.</v>
      </c>
      <c r="P46" s="271" t="str">
        <f>IFERROR(IF(Tidstabel[[#This Row],[År]]&gt;Input_Tidshorisont,BlankTegn,
IF(AND(Tidstabel[[#This Row],[Emission_Netto]]-Tidstabel[[#This Row],[Vedligehold_EksisterendeFacade]]&gt;0,N47-L47&lt;0),-1,IF(AND(Tidstabel[[#This Row],[Emission_Netto]]-Tidstabel[[#This Row],[Vedligehold_EksisterendeFacade]]&lt;0,N47-L47&gt;0),1,0))),BlankTegn)</f>
        <v>.</v>
      </c>
      <c r="Q46" s="174" t="str">
        <f>IF(Tidstabel[[#This Row],[År]]&gt;Input_Tidshorisont,BlankTegn,
IF(Tidstabel[[#This Row],[LCA-Skæring]]=-1,SUM(Tidstabel[[#This Row],[År]]*(1-ABS(Tidstabel[[#This Row],[LCA-Difference]])/(ABS(Tidstabel[[#This Row],[LCA-Difference]])+ABS(O47))),A47*(1-ABS(O47)/(ABS(Tidstabel[[#This Row],[LCA-Difference]])+ABS(O47)))),"-"))</f>
        <v>-</v>
      </c>
      <c r="R46" s="174" t="str">
        <f>IF(Tidstabel[[#This Row],[År]]&gt;Input_Tidshorisont,BlankTegn,
IF(Tidstabel[[#This Row],[LCA-Skæring]]=-1,SUM(Tidstabel[[#This Row],[Emission_Netto]]*(1-ABS(Tidstabel[[#This Row],[LCA-Difference]])/(ABS(Tidstabel[[#This Row],[LCA-Difference]])+ABS(O47))),N47*(1-ABS(O47)/(ABS(Tidstabel[[#This Row],[LCA-Difference]])+ABS(O47)))),"-"))</f>
        <v>-</v>
      </c>
      <c r="S46" s="174" t="str">
        <f>IF(Tidstabel[[#This Row],[År]]&gt;Input_Tidshorisont,BlankTegn,
IF(Tidstabel[[#This Row],[LCA-Skæring]]=1,SUM(Tidstabel[[#This Row],[År]]*(1-ABS(Tidstabel[[#This Row],[LCA-Difference]])/(ABS(Tidstabel[[#This Row],[LCA-Difference]])+ABS(O47))),A47*(1-ABS(O47)/(ABS(Tidstabel[[#This Row],[LCA-Difference]])+ABS(O47)))),"-"))</f>
        <v>-</v>
      </c>
      <c r="T46" s="264" t="str">
        <f>IF(Tidstabel[[#This Row],[År]]&gt;Input_Tidshorisont,BlankTegn,
IF(Tidstabel[[#This Row],[LCA-Skæring]]=1,SUM(Tidstabel[[#This Row],[Emission_Netto]]*(1-ABS(Tidstabel[[#This Row],[LCA-Difference]])/(ABS(Tidstabel[[#This Row],[LCA-Difference]])+ABS(O47))),N47*(1-ABS(O47)/(ABS(Tidstabel[[#This Row],[LCA-Difference]])+ABS(O47)))),"-"))</f>
        <v>-</v>
      </c>
      <c r="U46" s="142" t="str">
        <f ca="1">IFERROR(IF(Tidstabel[[#This Row],[År]]&gt;Input_Tidshorisont,BlankTegn,
Tidstabel[[#This Row],[NPV_Klimafacade]]-Tidstabel[[#This Row],[NPV_Eksisterende]]),BlankTegn)</f>
        <v>.</v>
      </c>
      <c r="V46" s="271" t="str">
        <f ca="1">IFERROR(IF(Tidstabel[[#This Row],[År]]&gt;Input_Tidshorisont,BlankTegn,
IF(AND(Tidstabel[[#This Row],[NPV_Klimafacade]]-Tidstabel[[#This Row],[NPV_Eksisterende]]&gt;0,AB47-AA47&lt;0),1,IF(AND(Tidstabel[[#This Row],[NPV_Klimafacade]]-Tidstabel[[#This Row],[NPV_Eksisterende]]&lt;0,AB47-AA47&gt;0),-1,0))),BlankTegn)</f>
        <v>.</v>
      </c>
      <c r="W46" s="174" t="str">
        <f ca="1">IF(Tidstabel[[#This Row],[År]]&gt;Input_Tidshorisont,BlankTegn,
IF(Tidstabel[[#This Row],[LCC-Skæring]]=-1,SUM(Tidstabel[[#This Row],[År]]*(1-ABS(Tidstabel[[#This Row],[LCC-Difference]])/(ABS(Tidstabel[[#This Row],[LCC-Difference]])+ABS(U47))),A47*(1-ABS(U47)/(ABS(Tidstabel[[#This Row],[LCC-Difference]])+ABS(U47)))),"-"))</f>
        <v>-</v>
      </c>
      <c r="X46" s="174" t="str">
        <f ca="1">IF(Tidstabel[[#This Row],[År]]&gt;Input_Tidshorisont,BlankTegn,
IF(Tidstabel[[#This Row],[LCC-Skæring]]=-1,SUM(Tidstabel[[#This Row],[NPV_Klimafacade]]*(1-ABS(Tidstabel[[#This Row],[LCC-Difference]])/(ABS(Tidstabel[[#This Row],[LCC-Difference]])+ABS(U47))),AB47*(1-ABS(U47)/(ABS(Tidstabel[[#This Row],[LCC-Difference]])+ABS(U47)))),"-"))</f>
        <v>-</v>
      </c>
      <c r="Y46" s="174" t="str">
        <f ca="1">IF(Tidstabel[[#This Row],[År]]&gt;Input_Tidshorisont,BlankTegn,
IF(Tidstabel[[#This Row],[LCC-Skæring]]=1,SUM(Tidstabel[[#This Row],[År]]*(1-ABS(Tidstabel[[#This Row],[LCC-Difference]])/(ABS(Tidstabel[[#This Row],[LCC-Difference]])+ABS(U47))),A47*(1-ABS(U47)/(ABS(Tidstabel[[#This Row],[LCC-Difference]])+ABS(U47)))),"-"))</f>
        <v>-</v>
      </c>
      <c r="Z46" s="264" t="str">
        <f ca="1">IF(Tidstabel[[#This Row],[År]]&gt;Input_Tidshorisont,BlankTegn,
IF(Tidstabel[[#This Row],[LCC-Skæring]]=1,SUM(Tidstabel[[#This Row],[NPV_Klimafacade]]*(1-ABS(Tidstabel[[#This Row],[LCC-Difference]])/(ABS(Tidstabel[[#This Row],[LCC-Difference]])+ABS(U47))),AB47*(1-ABS(U47)/(ABS(Tidstabel[[#This Row],[LCC-Difference]])+ABS(U47)))),"-"))</f>
        <v>-</v>
      </c>
      <c r="AA46" s="142">
        <f ca="1">IF(Tidstabel[[#This Row],[År]]&gt;Input_Tidshorisont,BlankTegn,
Tidstabel[[#This Row],[EF_Vedligehold_Aggregeret]])</f>
        <v>-240.50051419989796</v>
      </c>
      <c r="AB46"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46" s="142" t="str">
        <f>IFERROR(IF(Tidstabel[[#This Row],[År]]&gt;Input_Tidshorisont,BlankTegn,
Tidstabel[[#This Row],[KF_Anskaffelse_Aggregeret]]+Tidstabel[[#This Row],[KF_Engangsudgifter_Aggregeret]]),BlankTegn)</f>
        <v>.</v>
      </c>
      <c r="AD46" s="174">
        <f ca="1">IFERROR(IF(Tidstabel[[#This Row],[År]]&gt;Input_Tidshorisont,BlankTegn,
IF(Tidstabel[[#This Row],[År]]=0,0,Tidstabel[[#This Row],[NPV_Eksisterende]]*(Tidstabel[[#This Row],[Kalkulationsrente]]/(1-(1+Tidstabel[[#This Row],[Kalkulationsrente]])^-Tidstabel[[#This Row],[År]])))),BlankTegn)</f>
        <v>-9.7249156758127473</v>
      </c>
      <c r="AE46" s="264" t="str">
        <f ca="1">IFERROR(IF(Tidstabel[[#This Row],[År]]&gt;Input_Tidshorisont,BlankTegn,
IF(Tidstabel[[#This Row],[År]]=0,0,Tidstabel[[#This Row],[NPV_Klimafacade]]*(Tidstabel[[#This Row],[Kalkulationsrente]]/(1-(1+Tidstabel[[#This Row],[Kalkulationsrente]])^-Tidstabel[[#This Row],[År]])))),BlankTegn)</f>
        <v>.</v>
      </c>
      <c r="AF46" s="270">
        <f ca="1">IF(Tidstabel[[#This Row],[År]]&gt;Input_Tidshorisont,BlankTegn,
IF(EF_Vedligehold_i=1,IF(Tidstabel[[#This Row],[EF_Uds?]]=0,1,0),IF(MAX(AF45:OFFSET(AG45,2-EF_Vedligehold_i,0),Tidstabel[[#This Row],[EF_Uds?]])=0,1,0)))</f>
        <v>1</v>
      </c>
      <c r="AG46" s="181">
        <f>IF(Tidstabel[[#This Row],[År]]&gt;Input_Tidshorisont,BlankTegn,0)</f>
        <v>0</v>
      </c>
      <c r="AH46" s="263">
        <f ca="1">IF(Tidstabel[[#This Row],[År]]&gt;Input_Tidshorisont,BlankTegn,
Tidstabel[[#This Row],[EF_Ved?]]*EF_Vedligehold_p*-EF_Enhedspris*((1+Tidstabel[[#This Row],[Kalkulationsrente]])^-Tidstabel[[#This Row],[År]])*((1+PrisudviklingGenerelt)^Tidstabel[[#This Row],[År]]))</f>
        <v>-4.0648905317694721</v>
      </c>
      <c r="AI46" s="262">
        <f ca="1">IF(Tidstabel[[#This Row],[År]]&gt;Input_Tidshorisont,BlankTegn,
IF(Tidstabel[[#This Row],[År]]=0,Tidstabel[[#This Row],[EF_Vedligehold]],AI45+Tidstabel[[#This Row],[EF_Vedligehold]]))</f>
        <v>-240.50051419989796</v>
      </c>
      <c r="AJ46" s="245">
        <f>IFERROR(IF(Tidstabel[[#This Row],[År]]&gt;Input_Tidshorisont,BlankTegn,
Tidstabel[[#This Row],[FB_Anskaffelse]]+Tidstabel[[#This Row],[VS_Anskaffelse]]+Tidstabel[[#This Row],[EI_Anskaffelse]]+Tidstabel[[#This Row],[AP_Anskaffelse]]+Tidstabel[[#This Row],[SK_Anskaffelse]]),BlankTegn)</f>
        <v>0</v>
      </c>
      <c r="AK46" s="245" t="str">
        <f>IFERROR(IF(Tidstabel[[#This Row],[År]]&gt;Input_Tidshorisont,BlankTegn,
IF(Tidstabel[[#This Row],[År]]=0,Tidstabel[[#This Row],[KF_Anskaffelse]],AK45+Tidstabel[[#This Row],[KF_Anskaffelse]])),BlankTegn)</f>
        <v>.</v>
      </c>
      <c r="AL46" s="246" t="str">
        <f ca="1">IFERROR(IF(Tidstabel[[#This Row],[År]]&gt;Input_Tidshorisont,BlankTegn,
Tidstabel[[#This Row],[FB_Vedligehold]]+Tidstabel[[#This Row],[VS_Vedligehold]]+Tidstabel[[#This Row],[EI_Vedligehold]]+Tidstabel[[#This Row],[AP_Vedligehold]]+Tidstabel[[#This Row],[SK_Vedligehold]]),BlankTegn)</f>
        <v>.</v>
      </c>
      <c r="AM46" s="245" t="str">
        <f ca="1">IFERROR(IF(Tidstabel[[#This Row],[År]]&gt;Input_Tidshorisont,BlankTegn,
IF(Tidstabel[[#This Row],[År]]=0,Tidstabel[[#This Row],[KF_Vedligehold]],AM45+Tidstabel[[#This Row],[KF_Vedligehold]])),BlankTegn)</f>
        <v>.</v>
      </c>
      <c r="AN46"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46"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46" s="245" t="str">
        <f>IFERROR(IF(Tidstabel[[#This Row],[År]]&gt;Input_Tidshorisont,BlankTegn,
IF(Tidstabel[[#This Row],[År]]=0,Tidstabel[[#This Row],[KF_Udskiftning_Komponent]],AP45+Tidstabel[[#This Row],[KF_Udskiftning_Komponent]])),BlankTegn)</f>
        <v>.</v>
      </c>
      <c r="AQ46" s="245">
        <f>IF(Tidstabel[[#This Row],[År]]&gt;Input_Tidshorisont,BlankTegn,
IF(Tidstabel[[#This Row],[År]]=0,-SUM(Engangsudgifter[Udgift]),0))</f>
        <v>0</v>
      </c>
      <c r="AR46" s="245">
        <f>IFERROR(IF(Tidstabel[[#This Row],[År]]&gt;Input_Tidshorisont,BlankTegn,
IF(Tidstabel[[#This Row],[År]]=0,Tidstabel[[#This Row],[KF_Engangsudgifter]],AR45+Tidstabel[[#This Row],[KF_Engangsudgifter]])),BlankTegn)</f>
        <v>0</v>
      </c>
      <c r="AS46" s="315" t="str">
        <f>IFERROR(IF(Tidstabel[[#This Row],[År]]&gt;Input_Tidshorisont,BlankTegn,
-Energibesparelse_Årlig),BlankTegn)</f>
        <v>.</v>
      </c>
      <c r="AT46" s="245" t="str">
        <f>IFERROR(IF(Tidstabel[[#This Row],[År]]&gt;Input_Tidshorisont,BlankTegn,
IF(Tidstabel[[#This Row],[År]]=0,0,-Tidstabel[[#This Row],[KF_Energiforbrug]]*Input_Fjernvarmepris*((1+Tidstabel[[#This Row],[Kalkulationsrente]])^-Tidstabel[[#This Row],[År]])*((1+PrisudviklingFjernvarme)^Tidstabel[[#This Row],[År]]))),BlankTegn)</f>
        <v>.</v>
      </c>
      <c r="AU46" s="262" t="str">
        <f>IFERROR(IF(Tidstabel[[#This Row],[År]]&gt;Input_Tidshorisont,BlankTegn,
IF(Tidstabel[[#This Row],[År]]=0,Tidstabel[[#This Row],[KF_Forsyning]],AU45+Tidstabel[[#This Row],[KF_Forsyning]])),BlankTegn)</f>
        <v>.</v>
      </c>
      <c r="AV46" s="245">
        <f>IFERROR(IF(Tidstabel[[#This Row],[År]]&gt;Input_Tidshorisont,BlankTegn,
IF(Tidstabel[[#This Row],[År]]=0,-FB_Enhedspris,0)),BlankTegn)</f>
        <v>0</v>
      </c>
      <c r="AW46" s="245" t="str">
        <f>IFERROR(IF(Tidstabel[[#This Row],[År]]&gt;Input_Tidshorisont,BlankTegn,
IF(Tidstabel[[#This Row],[År]]=0,FB_Enhedspris/FB_Levetid,AW45*((1+Tidstabel[[#This Row],[Kalkulationsrente]])^-1)*((1+PrisudviklingGenerelt)^1))),BlankTegn)</f>
        <v>.</v>
      </c>
      <c r="AX46" s="178" t="str">
        <f ca="1">IFERROR(IF(Tidstabel[[#This Row],[År]]&gt;Input_Tidshorisont,BlankTegn,
IF(FB_Vedligehold_i=1,IF(Tidstabel[[#This Row],[FB_Uds?]]=0,1,0),IF(MAX(AX45:OFFSET(AY45,2-FB_Vedligehold_i,0),Tidstabel[[#This Row],[FB_Uds?]])=0,1,0))),BlankTegn)</f>
        <v>.</v>
      </c>
      <c r="AY46" s="178" t="str">
        <f>IFERROR(IF(Tidstabel[[#This Row],[År]]&gt;Input_Tidshorisont,BlankTegn,
IF(Tidstabel[[#This Row],[År]]=0,1,IF(MOD(Tidstabel[[#This Row],[År]],FB_Levetid)=0,1,IF(Tidstabel[[#This Row],[År]]=Input_Tidshorisont,0,0)))),BlankTegn)</f>
        <v>.</v>
      </c>
      <c r="AZ46" s="245" t="str">
        <f ca="1">IFERROR(IF(Tidstabel[[#This Row],[År]]&gt;Input_Tidshorisont,BlankTegn,
FB_Vedligehold_p*-FB_Enhedspris*Tidstabel[[#This Row],[FB_Ved?]]*((1+Tidstabel[[#This Row],[Kalkulationsrente]])^-Tidstabel[[#This Row],[År]])*((1+PrisudviklingGenerelt)^Tidstabel[[#This Row],[År]])),BlankTegn)</f>
        <v>.</v>
      </c>
      <c r="BA46" s="245" t="str">
        <f>IFERROR(IF(Tidstabel[[#This Row],[År]]&gt;Input_Tidshorisont,BlankTegn,
IF(Tidstabel[[#This Row],[År]]=0,FB_Enhedspris,SUM(BA45:BB45)*((1+Tidstabel[[#This Row],[Kalkulationsrente]])^-1)*((1+PrisudviklingGenerelt)^1)-Tidstabel[[#This Row],[FB_Afskrivning]])),BlankTegn)</f>
        <v>.</v>
      </c>
      <c r="BB46" s="245" t="str">
        <f>IFERROR(IF(Tidstabel[[#This Row],[År]]&gt;Input_Tidshorisont,BlankTegn,
IF(Tidstabel[[#This Row],[År]]=0,0,Tidstabel[[#This Row],[FB_Uds?]]*FB_Enhedspris*((1+Tidstabel[[#This Row],[Kalkulationsrente]])^-Tidstabel[[#This Row],[År]])*((1+PrisudviklingGenerelt)^Tidstabel[[#This Row],[År]]))),BlankTegn)</f>
        <v>.</v>
      </c>
      <c r="BC46" s="262" t="str">
        <f>IFERROR(IF(Tidstabel[[#This Row],[År]]&gt;Input_Tidshorisont,BlankTegn,
IF(Tidstabel[[#This Row],[År]]=0,0,Tidstabel[[#This Row],[FB_Uds?]]*-FB_Enhedspris*FB_Genoprettelse*((1+Tidstabel[[#This Row],[Kalkulationsrente]])^-Tidstabel[[#This Row],[År]])*((1+PrisudviklingGenerelt)^Tidstabel[[#This Row],[År]]))),BlankTegn)</f>
        <v>.</v>
      </c>
      <c r="BD46" s="245">
        <f>IFERROR(IF(Tidstabel[[#This Row],[År]]&gt;Input_Tidshorisont,BlankTegn,
IF(Tidstabel[[#This Row],[År]]=0,-VS_Enhedspris,0)),BlankTegn)</f>
        <v>0</v>
      </c>
      <c r="BE46" s="245" t="str">
        <f>IFERROR(IF(Tidstabel[[#This Row],[År]]&gt;Input_Tidshorisont,BlankTegn,
IF(Tidstabel[[#This Row],[År]]=0,VS_Enhedspris/VS_Levetid,BE45*((1+Tidstabel[[#This Row],[Kalkulationsrente]])^-1)*((1+PrisudviklingGenerelt)^1))),BlankTegn)</f>
        <v>.</v>
      </c>
      <c r="BF46" s="178" t="str">
        <f ca="1">IFERROR(IF(Tidstabel[[#This Row],[År]]&gt;Input_Tidshorisont,BlankTegn,
IF(VS_Vedligehold_i=1,IF(Tidstabel[[#This Row],[VS_Uds?]]=0,1,0),IF(MAX(BF45:OFFSET(BG45,2-VS_Vedligehold_i,0),Tidstabel[[#This Row],[VS_Uds?]])=0,1,0))),BlankTegn)</f>
        <v>.</v>
      </c>
      <c r="BG46" s="178" t="str">
        <f>IFERROR(IF(Tidstabel[[#This Row],[År]]&gt;Input_Tidshorisont,BlankTegn,
IF(Tidstabel[[#This Row],[År]]=0,1,IF(MOD(Tidstabel[[#This Row],[År]],VS_Levetid)=0,1,IF(Tidstabel[[#This Row],[År]]=Input_Tidshorisont,0,0)))),BlankTegn)</f>
        <v>.</v>
      </c>
      <c r="BH46" s="245" t="str">
        <f ca="1">IFERROR(IF(Tidstabel[[#This Row],[År]]&gt;Input_Tidshorisont,BlankTegn,
VS_Vedligehold_p*-VS_Enhedspris*Tidstabel[[#This Row],[VS_Ved?]]*((1+Tidstabel[[#This Row],[Kalkulationsrente]])^-Tidstabel[[#This Row],[År]])*((1+PrisudviklingGenerelt)^Tidstabel[[#This Row],[År]])),BlankTegn)</f>
        <v>.</v>
      </c>
      <c r="BI46" s="245" t="str">
        <f>IFERROR(IF(Tidstabel[[#This Row],[År]]&gt;Input_Tidshorisont,BlankTegn,
IF(Tidstabel[[#This Row],[År]]=0,VS_Enhedspris,SUM(BI45:BJ45)*((1+Tidstabel[[#This Row],[Kalkulationsrente]])^-1)*((1+PrisudviklingGenerelt)^1)-Tidstabel[[#This Row],[VS_Afskrivning]])),BlankTegn)</f>
        <v>.</v>
      </c>
      <c r="BJ46" s="245" t="str">
        <f>IFERROR(IF(Tidstabel[[#This Row],[År]]&gt;Input_Tidshorisont,BlankTegn,
IF(Tidstabel[[#This Row],[År]]=0,0,Tidstabel[[#This Row],[VS_Uds?]]*VS_Enhedspris*((1+Tidstabel[[#This Row],[Kalkulationsrente]])^-Tidstabel[[#This Row],[År]])*((1+PrisudviklingGenerelt)^Tidstabel[[#This Row],[År]]))),BlankTegn)</f>
        <v>.</v>
      </c>
      <c r="BK46" s="262" t="str">
        <f>IFERROR(IF(Tidstabel[[#This Row],[År]]&gt;Input_Tidshorisont,BlankTegn,
IF(Tidstabel[[#This Row],[År]]=0,0,Tidstabel[[#This Row],[VS_Uds?]]*-VS_Enhedspris*VS_Genoprettelse*((1+Tidstabel[[#This Row],[Kalkulationsrente]])^-Tidstabel[[#This Row],[År]])*((1+PrisudviklingGenerelt)^Tidstabel[[#This Row],[År]]))),BlankTegn)</f>
        <v>.</v>
      </c>
      <c r="BL46" s="245">
        <f>IFERROR(IF(Tidstabel[[#This Row],[År]]&gt;Input_Tidshorisont,BlankTegn,
IF(Tidstabel[[#This Row],[År]]=0,-EI_Enhedspris,0)),BlankTegn)</f>
        <v>0</v>
      </c>
      <c r="BM46" s="245" t="str">
        <f>IFERROR(IF(Tidstabel[[#This Row],[År]]&gt;Input_Tidshorisont,BlankTegn,
IF(Tidstabel[[#This Row],[År]]=0,EI_Enhedspris/EI_Levetid,BM45*((1+Tidstabel[[#This Row],[Kalkulationsrente]])^-1)*((1+PrisudviklingGenerelt)^1))),BlankTegn)</f>
        <v>.</v>
      </c>
      <c r="BN46" s="178" t="str">
        <f ca="1">IFERROR(IF(Tidstabel[[#This Row],[År]]&gt;Input_Tidshorisont,BlankTegn,
IF(EI_Vedligehold_i=1,IF(Tidstabel[[#This Row],[EI_Uds?]]=0,1,0),IF(MAX(BN45:OFFSET(BO45,2-EI_Vedligehold_i,0),Tidstabel[[#This Row],[EI_Uds?]])=0,1,0))),BlankTegn)</f>
        <v>.</v>
      </c>
      <c r="BO46" s="178" t="str">
        <f>IFERROR(IF(Tidstabel[[#This Row],[År]]&gt;Input_Tidshorisont,BlankTegn,
IF(Tidstabel[[#This Row],[År]]=0,1,IF(MOD(Tidstabel[[#This Row],[År]],EI_Levetid)=0,1,IF(Tidstabel[[#This Row],[År]]=Input_Tidshorisont,0,0)))),BlankTegn)</f>
        <v>.</v>
      </c>
      <c r="BP46" s="245" t="str">
        <f ca="1">IFERROR(IF(Tidstabel[[#This Row],[År]]&gt;Input_Tidshorisont,BlankTegn,
EI_Vedligehold_p*-EI_Enhedspris*Tidstabel[[#This Row],[EI_Ved?]]*((1+Tidstabel[[#This Row],[Kalkulationsrente]])^-Tidstabel[[#This Row],[År]])*((1+PrisudviklingGenerelt)^Tidstabel[[#This Row],[År]])),BlankTegn)</f>
        <v>.</v>
      </c>
      <c r="BQ46" s="245" t="str">
        <f>IFERROR(IF(Tidstabel[[#This Row],[År]]&gt;Input_Tidshorisont,BlankTegn,
IF(Tidstabel[[#This Row],[År]]=0,EI_Enhedspris,SUM(BQ45:BR45)*((1+Tidstabel[[#This Row],[Kalkulationsrente]])^-1)*((1+PrisudviklingGenerelt)^1)-Tidstabel[[#This Row],[EI_Afskrivning]])),BlankTegn)</f>
        <v>.</v>
      </c>
      <c r="BR46" s="245" t="str">
        <f>IFERROR(IF(Tidstabel[[#This Row],[År]]&gt;Input_Tidshorisont,BlankTegn,
IF(Tidstabel[[#This Row],[År]]=0,0,Tidstabel[[#This Row],[EI_Uds?]]*EI_Enhedspris*((1+Tidstabel[[#This Row],[Kalkulationsrente]])^-Tidstabel[[#This Row],[År]])*((1+PrisudviklingGenerelt)^Tidstabel[[#This Row],[År]]))),BlankTegn)</f>
        <v>.</v>
      </c>
      <c r="BS46" s="262" t="str">
        <f>IFERROR(IF(Tidstabel[[#This Row],[År]]&gt;Input_Tidshorisont,BlankTegn,
IF(Tidstabel[[#This Row],[År]]=0,0,Tidstabel[[#This Row],[EI_Uds?]]*-EI_Enhedspris*EI_Genoprettelse*((1+Tidstabel[[#This Row],[Kalkulationsrente]])^-Tidstabel[[#This Row],[År]])*((1+PrisudviklingGenerelt)^Tidstabel[[#This Row],[År]]))),BlankTegn)</f>
        <v>.</v>
      </c>
      <c r="BT46" s="245">
        <f>IFERROR(IF(Tidstabel[[#This Row],[År]]&gt;Input_Tidshorisont,BlankTegn,
IF(Tidstabel[[#This Row],[År]]=0,-AP_Enhedspris,0)),BlankTegn)</f>
        <v>0</v>
      </c>
      <c r="BU46" s="245" t="str">
        <f>IFERROR(IF(Tidstabel[[#This Row],[År]]&gt;Input_Tidshorisont,BlankTegn,
IF(Tidstabel[[#This Row],[År]]=0,AP_Enhedspris/AP_Levetid,BU45*((1+Tidstabel[[#This Row],[Kalkulationsrente]])^-1)*((1+PrisudviklingGenerelt)^1))),BlankTegn)</f>
        <v>.</v>
      </c>
      <c r="BV46" s="178" t="str">
        <f ca="1">IFERROR(IF(Tidstabel[[#This Row],[År]]&gt;Input_Tidshorisont,BlankTegn,
IF(AP_Vedligehold_i=1,IF(Tidstabel[[#This Row],[AP_Uds?]]=0,1,0),IF(MAX(BV45:OFFSET(BW45,2-AP_Vedligehold_i,0),Tidstabel[[#This Row],[AP_Uds?]])=0,1,0))),BlankTegn)</f>
        <v>.</v>
      </c>
      <c r="BW46" s="178" t="str">
        <f>IFERROR(IF(Tidstabel[[#This Row],[År]]&gt;Input_Tidshorisont,BlankTegn,
IF(Tidstabel[[#This Row],[År]]=0,1,IF(MOD(Tidstabel[[#This Row],[År]],AP_Levetid)=0,1,IF(Tidstabel[[#This Row],[År]]=Input_Tidshorisont,0,0)))),BlankTegn)</f>
        <v>.</v>
      </c>
      <c r="BX46" s="245" t="str">
        <f ca="1">IFERROR(IF(Tidstabel[[#This Row],[År]]&gt;Input_Tidshorisont,BlankTegn,
AP_Vedligehold_p*-AP_Enhedspris*Tidstabel[[#This Row],[AP_Ved?]]*((1+Tidstabel[[#This Row],[Kalkulationsrente]])^-Tidstabel[[#This Row],[År]])*((1+PrisudviklingGenerelt)^Tidstabel[[#This Row],[År]])),BlankTegn)</f>
        <v>.</v>
      </c>
      <c r="BY46" s="245" t="str">
        <f>IFERROR(IF(Tidstabel[[#This Row],[År]]&gt;Input_Tidshorisont,BlankTegn,
IF(Tidstabel[[#This Row],[År]]=0,AP_Enhedspris,SUM(BY45:BZ45)*((1+Tidstabel[[#This Row],[Kalkulationsrente]])^-1)*((1+PrisudviklingGenerelt)^1)-Tidstabel[[#This Row],[AP_Afskrivning]])),BlankTegn)</f>
        <v>.</v>
      </c>
      <c r="BZ46" s="245" t="str">
        <f>IFERROR(IF(Tidstabel[[#This Row],[År]]&gt;Input_Tidshorisont,BlankTegn,
IF(Tidstabel[[#This Row],[År]]=0,0,Tidstabel[[#This Row],[AP_Uds?]]*AP_Enhedspris*((1+Tidstabel[[#This Row],[Kalkulationsrente]])^-Tidstabel[[#This Row],[År]])*((1+PrisudviklingGenerelt)^Tidstabel[[#This Row],[År]]))),BlankTegn)</f>
        <v>.</v>
      </c>
      <c r="CA46" s="262" t="str">
        <f>IFERROR(IF(Tidstabel[[#This Row],[År]]&gt;Input_Tidshorisont,BlankTegn,
IF(Tidstabel[[#This Row],[År]]=0,0,Tidstabel[[#This Row],[AP_Uds?]]*-AP_Enhedspris*AP_Genoprettelse*((1+Tidstabel[[#This Row],[Kalkulationsrente]])^-Tidstabel[[#This Row],[År]])*((1+PrisudviklingGenerelt)^Tidstabel[[#This Row],[År]]))),BlankTegn)</f>
        <v>.</v>
      </c>
      <c r="CB46" s="245">
        <f>IFERROR(IF(Tidstabel[[#This Row],[År]]&gt;Input_Tidshorisont,BlankTegn,
IF(Tidstabel[[#This Row],[År]]=0,-SK_Enhedspris,0)),BlankTegn)</f>
        <v>0</v>
      </c>
      <c r="CC46" s="245" t="str">
        <f>IFERROR(IF(Tidstabel[[#This Row],[År]]&gt;Input_Tidshorisont,BlankTegn,
IF(Tidstabel[[#This Row],[År]]=0,SK_Enhedspris/SK_Levetid,CC45*((1+Tidstabel[[#This Row],[Kalkulationsrente]])^-1)*((1+PrisudviklingGenerelt)^1))),BlankTegn)</f>
        <v>.</v>
      </c>
      <c r="CD46" s="178" t="str">
        <f ca="1">IFERROR(IF(Tidstabel[[#This Row],[År]]&gt;Input_Tidshorisont,BlankTegn,
IF(SK_Vedligehold_i=1,IF(Tidstabel[[#This Row],[SK_Uds?]]=0,1,0),IF(MAX(CD45:OFFSET(CE45,2-SK_Vedligehold_i,0),Tidstabel[[#This Row],[SK_Uds?]])=0,1,0))),BlankTegn)</f>
        <v>.</v>
      </c>
      <c r="CE46" s="178" t="str">
        <f>IFERROR(IF(Tidstabel[[#This Row],[År]]&gt;Input_Tidshorisont,BlankTegn,
IF(Tidstabel[[#This Row],[År]]=0,1,IF(MOD(Tidstabel[[#This Row],[År]],SK_Levetid)=0,1,IF(Tidstabel[[#This Row],[År]]=Input_Tidshorisont,0,0)))),BlankTegn)</f>
        <v>.</v>
      </c>
      <c r="CF46" s="245" t="str">
        <f ca="1">IFERROR(IF(Tidstabel[[#This Row],[År]]&gt;Input_Tidshorisont,BlankTegn,
SK_Vedligehold_p*-SK_Enhedspris*Tidstabel[[#This Row],[SK_Ved?]]*((1+Tidstabel[[#This Row],[Kalkulationsrente]])^-Tidstabel[[#This Row],[År]])*((1+PrisudviklingGenerelt)^Tidstabel[[#This Row],[År]])),BlankTegn)</f>
        <v>.</v>
      </c>
      <c r="CG46" s="245" t="str">
        <f>IFERROR(IF(Tidstabel[[#This Row],[År]]&gt;Input_Tidshorisont,BlankTegn,
IF(Tidstabel[[#This Row],[År]]=0,SK_Enhedspris,SUM(CG45:CH45)*((1+Tidstabel[[#This Row],[Kalkulationsrente]])^-1)*((1+PrisudviklingGenerelt)^1)-Tidstabel[[#This Row],[SK_Afskrivning]])),BlankTegn)</f>
        <v>.</v>
      </c>
      <c r="CH46" s="245" t="str">
        <f>IFERROR(IF(Tidstabel[[#This Row],[År]]&gt;Input_Tidshorisont,BlankTegn,
IF(Tidstabel[[#This Row],[År]]=0,0,Tidstabel[[#This Row],[SK_Uds?]]*SK_Enhedspris*((1+Tidstabel[[#This Row],[Kalkulationsrente]])^-Tidstabel[[#This Row],[År]])*((1+PrisudviklingGenerelt)^Tidstabel[[#This Row],[År]]))),BlankTegn)</f>
        <v>.</v>
      </c>
      <c r="CI46" s="262" t="str">
        <f>IFERROR(IF(Tidstabel[[#This Row],[År]]&gt;Input_Tidshorisont,BlankTegn,
IF(Tidstabel[[#This Row],[År]]=0,0,Tidstabel[[#This Row],[SK_Uds?]]*-SK_Enhedspris*SK_Genoprettelse*((1+Tidstabel[[#This Row],[Kalkulationsrente]])^-Tidstabel[[#This Row],[År]])*((1+PrisudviklingGenerelt)^Tidstabel[[#This Row],[År]]))),BlankTegn)</f>
        <v>.</v>
      </c>
      <c r="CJ46" s="19"/>
    </row>
    <row r="47" spans="1:88">
      <c r="A47" s="250">
        <v>40</v>
      </c>
      <c r="B47" s="250">
        <f>Input_Etableringsår+Tidstabel[[#This Row],[År]]</f>
        <v>2064</v>
      </c>
      <c r="C47" s="274" cm="1">
        <f t="array" ref="C47">_xlfn.IFS(Tidstabel[[#This Row],[År]]&gt;KR_Trin3_Tærskel,KR_Trin3_Rente,Tidstabel[[#This Row],[År]]&gt;KR_Trin2_Tærskel,KR_Trin2_Rente,Tidstabel[[#This Row],[År]]&gt;KR_Trin1_Tærskel,KR_Trin1_Rente,Tidstabel[[#This Row],[År]]&gt;KR_Trin0_Tærskel,KR_Trin0_Rente)</f>
        <v>2.5000000000000001E-2</v>
      </c>
      <c r="D47" s="142" t="str" cm="1">
        <f t="array" ref="D47">IFERROR(
INDEX(Range_Materiale_ÅrligeEmissioner,MATCH(1,(Materialedata[Komponent]=FB_Titel)*(Materialedata[Materiale]=FB_Materiale),0),MATCH(Tidstabel[[#This Row],[År]],Range_Materiale_År,0)),BlankTegn)</f>
        <v>.</v>
      </c>
      <c r="E47" s="142" t="str" cm="1">
        <f t="array" ref="E47">IFERROR(
INDEX(Range_Materiale_ÅrligeEmissioner,MATCH(1,(Materialedata[Komponent]=SK_Titel)*(Materialedata[Materiale]=SK_Materiale),0),MATCH(Tidstabel[[#This Row],[År]],Range_Materiale_År,0)),BlankTegn)</f>
        <v>.</v>
      </c>
      <c r="F47" s="142" t="str" cm="1">
        <f t="array" ref="F47">IFERROR(
INDEX(Range_Materiale_ÅrligeEmissioner,MATCH(1,(Materialedata[Komponent]=EI_Titel)*(Materialedata[Materiale]=EI_Materiale),0),MATCH(Tidstabel[[#This Row],[År]],Range_Materiale_År,0)),BlankTegn)</f>
        <v>.</v>
      </c>
      <c r="G47" s="142" t="str" cm="1">
        <f t="array" ref="G47">IFERROR(
INDEX(Range_Materiale_ÅrligeEmissioner,MATCH(1,(Materialedata[Komponent]=AP_Titel)*(Materialedata[Materiale]=AP_Materiale),0),MATCH(Tidstabel[[#This Row],[År]],Range_Materiale_År,0)),BlankTegn)</f>
        <v>.</v>
      </c>
      <c r="H47" s="142" t="str" cm="1">
        <f t="array" ref="H47">IFERROR(
INDEX(Range_Materiale_ÅrligeEmissioner,MATCH(1,(Materialedata[Komponent]=VS_Titel)*(Materialedata[Materiale]=VS_Materiale),0),MATCH(Tidstabel[[#This Row],[År]],Range_Materiale_År,0)),BlankTegn)</f>
        <v>.</v>
      </c>
      <c r="I47" s="142" t="str">
        <f>IFERROR(
IF(SUM(Tidstabel[[#This Row],[Facadebeklædning]:[Vindspærre]])=0,BlankTegn,
SUM(Tidstabel[[#This Row],[Facadebeklædning]:[Vindspærre]])),BlankTegn)</f>
        <v>.</v>
      </c>
      <c r="J47" s="139">
        <f>IF(Tidstabel[[#This Row],[År]]&gt;Input_Tidshorisont,BlankTegn,
A5_ElVarmeBrændstofByggeplads)</f>
        <v>0.25</v>
      </c>
      <c r="K47" s="142" t="str">
        <f>IFERROR(IF(Tidstabel[[#This Row],[År]]&gt;Input_Tidshorisont,BlankTegn,
-1*INDEX(Range_Energi_ÅrligBesparelse,MATCH(Input_EksisterendeFacade,Energiberegning[Ydervæg],0),MATCH(Tidstabel[[#This Row],[Årstal]],Range_Energi_Årstal,0))),BlankTegn)</f>
        <v>.</v>
      </c>
      <c r="L47" s="142">
        <f>IF(Tidstabel[[#This Row],[År]]&gt;Input_Tidshorisont,BlankTegn,
(Tidstabel[[#This Row],[År]]+1)*(SUM(Vedligeholdelsesmaterialer[Facadefarve],Vedligeholdelsesmaterialer[Grunder og mellemmaling])/12+SUM(Vedligeholdelsesmaterialer[Puds])/30))</f>
        <v>13.319025719166666</v>
      </c>
      <c r="M47" s="142" t="str">
        <f>IFERROR(IF(Tidstabel[[#This Row],[År]]&gt;Input_Tidshorisont,BlankTegn,
Tidstabel[[#This Row],[Materialer_Total]]+Tidstabel[[#This Row],[Byggeprocess]]),BlankTegn)</f>
        <v>.</v>
      </c>
      <c r="N47" s="142" t="str">
        <f>IFERROR(IF(Tidstabel[[#This Row],[År]]&gt;Input_Tidshorisont,BlankTegn,
Tidstabel[[#This Row],[Energibesparelse]]+Tidstabel[[#This Row],[Emission_Brutto]]),BlankTegn)</f>
        <v>.</v>
      </c>
      <c r="O47" s="142" t="str">
        <f>IFERROR(IF(Tidstabel[[#This Row],[År]]&gt;Input_Tidshorisont,BlankTegn,
Tidstabel[[#This Row],[Emission_Netto]]-Tidstabel[[#This Row],[Vedligehold_EksisterendeFacade]]),BlankTegn)</f>
        <v>.</v>
      </c>
      <c r="P47" s="271" t="str">
        <f>IFERROR(IF(Tidstabel[[#This Row],[År]]&gt;Input_Tidshorisont,BlankTegn,
IF(AND(Tidstabel[[#This Row],[Emission_Netto]]-Tidstabel[[#This Row],[Vedligehold_EksisterendeFacade]]&gt;0,N48-L48&lt;0),-1,IF(AND(Tidstabel[[#This Row],[Emission_Netto]]-Tidstabel[[#This Row],[Vedligehold_EksisterendeFacade]]&lt;0,N48-L48&gt;0),1,0))),BlankTegn)</f>
        <v>.</v>
      </c>
      <c r="Q47" s="174" t="str">
        <f>IF(Tidstabel[[#This Row],[År]]&gt;Input_Tidshorisont,BlankTegn,
IF(Tidstabel[[#This Row],[LCA-Skæring]]=-1,SUM(Tidstabel[[#This Row],[År]]*(1-ABS(Tidstabel[[#This Row],[LCA-Difference]])/(ABS(Tidstabel[[#This Row],[LCA-Difference]])+ABS(O48))),A48*(1-ABS(O48)/(ABS(Tidstabel[[#This Row],[LCA-Difference]])+ABS(O48)))),"-"))</f>
        <v>-</v>
      </c>
      <c r="R47" s="174" t="str">
        <f>IF(Tidstabel[[#This Row],[År]]&gt;Input_Tidshorisont,BlankTegn,
IF(Tidstabel[[#This Row],[LCA-Skæring]]=-1,SUM(Tidstabel[[#This Row],[Emission_Netto]]*(1-ABS(Tidstabel[[#This Row],[LCA-Difference]])/(ABS(Tidstabel[[#This Row],[LCA-Difference]])+ABS(O48))),N48*(1-ABS(O48)/(ABS(Tidstabel[[#This Row],[LCA-Difference]])+ABS(O48)))),"-"))</f>
        <v>-</v>
      </c>
      <c r="S47" s="174" t="str">
        <f>IF(Tidstabel[[#This Row],[År]]&gt;Input_Tidshorisont,BlankTegn,
IF(Tidstabel[[#This Row],[LCA-Skæring]]=1,SUM(Tidstabel[[#This Row],[År]]*(1-ABS(Tidstabel[[#This Row],[LCA-Difference]])/(ABS(Tidstabel[[#This Row],[LCA-Difference]])+ABS(O48))),A48*(1-ABS(O48)/(ABS(Tidstabel[[#This Row],[LCA-Difference]])+ABS(O48)))),"-"))</f>
        <v>-</v>
      </c>
      <c r="T47" s="264" t="str">
        <f>IF(Tidstabel[[#This Row],[År]]&gt;Input_Tidshorisont,BlankTegn,
IF(Tidstabel[[#This Row],[LCA-Skæring]]=1,SUM(Tidstabel[[#This Row],[Emission_Netto]]*(1-ABS(Tidstabel[[#This Row],[LCA-Difference]])/(ABS(Tidstabel[[#This Row],[LCA-Difference]])+ABS(O48))),N48*(1-ABS(O48)/(ABS(Tidstabel[[#This Row],[LCA-Difference]])+ABS(O48)))),"-"))</f>
        <v>-</v>
      </c>
      <c r="U47" s="142" t="str">
        <f ca="1">IFERROR(IF(Tidstabel[[#This Row],[År]]&gt;Input_Tidshorisont,BlankTegn,
Tidstabel[[#This Row],[NPV_Klimafacade]]-Tidstabel[[#This Row],[NPV_Eksisterende]]),BlankTegn)</f>
        <v>.</v>
      </c>
      <c r="V47" s="271" t="str">
        <f ca="1">IFERROR(IF(Tidstabel[[#This Row],[År]]&gt;Input_Tidshorisont,BlankTegn,
IF(AND(Tidstabel[[#This Row],[NPV_Klimafacade]]-Tidstabel[[#This Row],[NPV_Eksisterende]]&gt;0,AB48-AA48&lt;0),1,IF(AND(Tidstabel[[#This Row],[NPV_Klimafacade]]-Tidstabel[[#This Row],[NPV_Eksisterende]]&lt;0,AB48-AA48&gt;0),-1,0))),BlankTegn)</f>
        <v>.</v>
      </c>
      <c r="W47" s="174" t="str">
        <f ca="1">IF(Tidstabel[[#This Row],[År]]&gt;Input_Tidshorisont,BlankTegn,
IF(Tidstabel[[#This Row],[LCC-Skæring]]=-1,SUM(Tidstabel[[#This Row],[År]]*(1-ABS(Tidstabel[[#This Row],[LCC-Difference]])/(ABS(Tidstabel[[#This Row],[LCC-Difference]])+ABS(U48))),A48*(1-ABS(U48)/(ABS(Tidstabel[[#This Row],[LCC-Difference]])+ABS(U48)))),"-"))</f>
        <v>-</v>
      </c>
      <c r="X47" s="174" t="str">
        <f ca="1">IF(Tidstabel[[#This Row],[År]]&gt;Input_Tidshorisont,BlankTegn,
IF(Tidstabel[[#This Row],[LCC-Skæring]]=-1,SUM(Tidstabel[[#This Row],[NPV_Klimafacade]]*(1-ABS(Tidstabel[[#This Row],[LCC-Difference]])/(ABS(Tidstabel[[#This Row],[LCC-Difference]])+ABS(U48))),AB48*(1-ABS(U48)/(ABS(Tidstabel[[#This Row],[LCC-Difference]])+ABS(U48)))),"-"))</f>
        <v>-</v>
      </c>
      <c r="Y47" s="174" t="str">
        <f ca="1">IF(Tidstabel[[#This Row],[År]]&gt;Input_Tidshorisont,BlankTegn,
IF(Tidstabel[[#This Row],[LCC-Skæring]]=1,SUM(Tidstabel[[#This Row],[År]]*(1-ABS(Tidstabel[[#This Row],[LCC-Difference]])/(ABS(Tidstabel[[#This Row],[LCC-Difference]])+ABS(U48))),A48*(1-ABS(U48)/(ABS(Tidstabel[[#This Row],[LCC-Difference]])+ABS(U48)))),"-"))</f>
        <v>-</v>
      </c>
      <c r="Z47" s="264" t="str">
        <f ca="1">IF(Tidstabel[[#This Row],[År]]&gt;Input_Tidshorisont,BlankTegn,
IF(Tidstabel[[#This Row],[LCC-Skæring]]=1,SUM(Tidstabel[[#This Row],[NPV_Klimafacade]]*(1-ABS(Tidstabel[[#This Row],[LCC-Difference]])/(ABS(Tidstabel[[#This Row],[LCC-Difference]])+ABS(U48))),AB48*(1-ABS(U48)/(ABS(Tidstabel[[#This Row],[LCC-Difference]])+ABS(U48)))),"-"))</f>
        <v>-</v>
      </c>
      <c r="AA47" s="142">
        <f ca="1">IF(Tidstabel[[#This Row],[År]]&gt;Input_Tidshorisont,BlankTegn,
Tidstabel[[#This Row],[EF_Vedligehold_Aggregeret]])</f>
        <v>-244.46626106016086</v>
      </c>
      <c r="AB47"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47" s="142" t="str">
        <f>IFERROR(IF(Tidstabel[[#This Row],[År]]&gt;Input_Tidshorisont,BlankTegn,
Tidstabel[[#This Row],[KF_Anskaffelse_Aggregeret]]+Tidstabel[[#This Row],[KF_Engangsudgifter_Aggregeret]]),BlankTegn)</f>
        <v>.</v>
      </c>
      <c r="AD47" s="174">
        <f ca="1">IFERROR(IF(Tidstabel[[#This Row],[År]]&gt;Input_Tidshorisont,BlankTegn,
IF(Tidstabel[[#This Row],[År]]=0,0,Tidstabel[[#This Row],[NPV_Eksisterende]]*(Tidstabel[[#This Row],[Kalkulationsrente]]/(1-(1+Tidstabel[[#This Row],[Kalkulationsrente]])^-Tidstabel[[#This Row],[År]])))),BlankTegn)</f>
        <v>-9.7386149759497975</v>
      </c>
      <c r="AE47" s="264" t="str">
        <f ca="1">IFERROR(IF(Tidstabel[[#This Row],[År]]&gt;Input_Tidshorisont,BlankTegn,
IF(Tidstabel[[#This Row],[År]]=0,0,Tidstabel[[#This Row],[NPV_Klimafacade]]*(Tidstabel[[#This Row],[Kalkulationsrente]]/(1-(1+Tidstabel[[#This Row],[Kalkulationsrente]])^-Tidstabel[[#This Row],[År]])))),BlankTegn)</f>
        <v>.</v>
      </c>
      <c r="AF47" s="270">
        <f ca="1">IF(Tidstabel[[#This Row],[År]]&gt;Input_Tidshorisont,BlankTegn,
IF(EF_Vedligehold_i=1,IF(Tidstabel[[#This Row],[EF_Uds?]]=0,1,0),IF(MAX(AF46:OFFSET(AG46,2-EF_Vedligehold_i,0),Tidstabel[[#This Row],[EF_Uds?]])=0,1,0)))</f>
        <v>1</v>
      </c>
      <c r="AG47" s="181">
        <f>IF(Tidstabel[[#This Row],[År]]&gt;Input_Tidshorisont,BlankTegn,0)</f>
        <v>0</v>
      </c>
      <c r="AH47" s="263">
        <f ca="1">IF(Tidstabel[[#This Row],[År]]&gt;Input_Tidshorisont,BlankTegn,
Tidstabel[[#This Row],[EF_Ved?]]*EF_Vedligehold_p*-EF_Enhedspris*((1+Tidstabel[[#This Row],[Kalkulationsrente]])^-Tidstabel[[#This Row],[År]])*((1+PrisudviklingGenerelt)^Tidstabel[[#This Row],[År]]))</f>
        <v>-3.9657468602629002</v>
      </c>
      <c r="AI47" s="262">
        <f ca="1">IF(Tidstabel[[#This Row],[År]]&gt;Input_Tidshorisont,BlankTegn,
IF(Tidstabel[[#This Row],[År]]=0,Tidstabel[[#This Row],[EF_Vedligehold]],AI46+Tidstabel[[#This Row],[EF_Vedligehold]]))</f>
        <v>-244.46626106016086</v>
      </c>
      <c r="AJ47" s="245">
        <f>IFERROR(IF(Tidstabel[[#This Row],[År]]&gt;Input_Tidshorisont,BlankTegn,
Tidstabel[[#This Row],[FB_Anskaffelse]]+Tidstabel[[#This Row],[VS_Anskaffelse]]+Tidstabel[[#This Row],[EI_Anskaffelse]]+Tidstabel[[#This Row],[AP_Anskaffelse]]+Tidstabel[[#This Row],[SK_Anskaffelse]]),BlankTegn)</f>
        <v>0</v>
      </c>
      <c r="AK47" s="245" t="str">
        <f>IFERROR(IF(Tidstabel[[#This Row],[År]]&gt;Input_Tidshorisont,BlankTegn,
IF(Tidstabel[[#This Row],[År]]=0,Tidstabel[[#This Row],[KF_Anskaffelse]],AK46+Tidstabel[[#This Row],[KF_Anskaffelse]])),BlankTegn)</f>
        <v>.</v>
      </c>
      <c r="AL47" s="246" t="str">
        <f ca="1">IFERROR(IF(Tidstabel[[#This Row],[År]]&gt;Input_Tidshorisont,BlankTegn,
Tidstabel[[#This Row],[FB_Vedligehold]]+Tidstabel[[#This Row],[VS_Vedligehold]]+Tidstabel[[#This Row],[EI_Vedligehold]]+Tidstabel[[#This Row],[AP_Vedligehold]]+Tidstabel[[#This Row],[SK_Vedligehold]]),BlankTegn)</f>
        <v>.</v>
      </c>
      <c r="AM47" s="245" t="str">
        <f ca="1">IFERROR(IF(Tidstabel[[#This Row],[År]]&gt;Input_Tidshorisont,BlankTegn,
IF(Tidstabel[[#This Row],[År]]=0,Tidstabel[[#This Row],[KF_Vedligehold]],AM46+Tidstabel[[#This Row],[KF_Vedligehold]])),BlankTegn)</f>
        <v>.</v>
      </c>
      <c r="AN47"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47"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47" s="245" t="str">
        <f>IFERROR(IF(Tidstabel[[#This Row],[År]]&gt;Input_Tidshorisont,BlankTegn,
IF(Tidstabel[[#This Row],[År]]=0,Tidstabel[[#This Row],[KF_Udskiftning_Komponent]],AP46+Tidstabel[[#This Row],[KF_Udskiftning_Komponent]])),BlankTegn)</f>
        <v>.</v>
      </c>
      <c r="AQ47" s="245">
        <f>IF(Tidstabel[[#This Row],[År]]&gt;Input_Tidshorisont,BlankTegn,
IF(Tidstabel[[#This Row],[År]]=0,-SUM(Engangsudgifter[Udgift]),0))</f>
        <v>0</v>
      </c>
      <c r="AR47" s="245">
        <f>IFERROR(IF(Tidstabel[[#This Row],[År]]&gt;Input_Tidshorisont,BlankTegn,
IF(Tidstabel[[#This Row],[År]]=0,Tidstabel[[#This Row],[KF_Engangsudgifter]],AR46+Tidstabel[[#This Row],[KF_Engangsudgifter]])),BlankTegn)</f>
        <v>0</v>
      </c>
      <c r="AS47" s="315" t="str">
        <f>IFERROR(IF(Tidstabel[[#This Row],[År]]&gt;Input_Tidshorisont,BlankTegn,
-Energibesparelse_Årlig),BlankTegn)</f>
        <v>.</v>
      </c>
      <c r="AT47" s="245" t="str">
        <f>IFERROR(IF(Tidstabel[[#This Row],[År]]&gt;Input_Tidshorisont,BlankTegn,
IF(Tidstabel[[#This Row],[År]]=0,0,-Tidstabel[[#This Row],[KF_Energiforbrug]]*Input_Fjernvarmepris*((1+Tidstabel[[#This Row],[Kalkulationsrente]])^-Tidstabel[[#This Row],[År]])*((1+PrisudviklingFjernvarme)^Tidstabel[[#This Row],[År]]))),BlankTegn)</f>
        <v>.</v>
      </c>
      <c r="AU47" s="262" t="str">
        <f>IFERROR(IF(Tidstabel[[#This Row],[År]]&gt;Input_Tidshorisont,BlankTegn,
IF(Tidstabel[[#This Row],[År]]=0,Tidstabel[[#This Row],[KF_Forsyning]],AU46+Tidstabel[[#This Row],[KF_Forsyning]])),BlankTegn)</f>
        <v>.</v>
      </c>
      <c r="AV47" s="245">
        <f>IFERROR(IF(Tidstabel[[#This Row],[År]]&gt;Input_Tidshorisont,BlankTegn,
IF(Tidstabel[[#This Row],[År]]=0,-FB_Enhedspris,0)),BlankTegn)</f>
        <v>0</v>
      </c>
      <c r="AW47" s="245" t="str">
        <f>IFERROR(IF(Tidstabel[[#This Row],[År]]&gt;Input_Tidshorisont,BlankTegn,
IF(Tidstabel[[#This Row],[År]]=0,FB_Enhedspris/FB_Levetid,AW46*((1+Tidstabel[[#This Row],[Kalkulationsrente]])^-1)*((1+PrisudviklingGenerelt)^1))),BlankTegn)</f>
        <v>.</v>
      </c>
      <c r="AX47" s="178" t="str">
        <f ca="1">IFERROR(IF(Tidstabel[[#This Row],[År]]&gt;Input_Tidshorisont,BlankTegn,
IF(FB_Vedligehold_i=1,IF(Tidstabel[[#This Row],[FB_Uds?]]=0,1,0),IF(MAX(AX46:OFFSET(AY46,2-FB_Vedligehold_i,0),Tidstabel[[#This Row],[FB_Uds?]])=0,1,0))),BlankTegn)</f>
        <v>.</v>
      </c>
      <c r="AY47" s="178" t="str">
        <f>IFERROR(IF(Tidstabel[[#This Row],[År]]&gt;Input_Tidshorisont,BlankTegn,
IF(Tidstabel[[#This Row],[År]]=0,1,IF(MOD(Tidstabel[[#This Row],[År]],FB_Levetid)=0,1,IF(Tidstabel[[#This Row],[År]]=Input_Tidshorisont,0,0)))),BlankTegn)</f>
        <v>.</v>
      </c>
      <c r="AZ47" s="245" t="str">
        <f ca="1">IFERROR(IF(Tidstabel[[#This Row],[År]]&gt;Input_Tidshorisont,BlankTegn,
FB_Vedligehold_p*-FB_Enhedspris*Tidstabel[[#This Row],[FB_Ved?]]*((1+Tidstabel[[#This Row],[Kalkulationsrente]])^-Tidstabel[[#This Row],[År]])*((1+PrisudviklingGenerelt)^Tidstabel[[#This Row],[År]])),BlankTegn)</f>
        <v>.</v>
      </c>
      <c r="BA47" s="245" t="str">
        <f>IFERROR(IF(Tidstabel[[#This Row],[År]]&gt;Input_Tidshorisont,BlankTegn,
IF(Tidstabel[[#This Row],[År]]=0,FB_Enhedspris,SUM(BA46:BB46)*((1+Tidstabel[[#This Row],[Kalkulationsrente]])^-1)*((1+PrisudviklingGenerelt)^1)-Tidstabel[[#This Row],[FB_Afskrivning]])),BlankTegn)</f>
        <v>.</v>
      </c>
      <c r="BB47" s="245" t="str">
        <f>IFERROR(IF(Tidstabel[[#This Row],[År]]&gt;Input_Tidshorisont,BlankTegn,
IF(Tidstabel[[#This Row],[År]]=0,0,Tidstabel[[#This Row],[FB_Uds?]]*FB_Enhedspris*((1+Tidstabel[[#This Row],[Kalkulationsrente]])^-Tidstabel[[#This Row],[År]])*((1+PrisudviklingGenerelt)^Tidstabel[[#This Row],[År]]))),BlankTegn)</f>
        <v>.</v>
      </c>
      <c r="BC47" s="262" t="str">
        <f>IFERROR(IF(Tidstabel[[#This Row],[År]]&gt;Input_Tidshorisont,BlankTegn,
IF(Tidstabel[[#This Row],[År]]=0,0,Tidstabel[[#This Row],[FB_Uds?]]*-FB_Enhedspris*FB_Genoprettelse*((1+Tidstabel[[#This Row],[Kalkulationsrente]])^-Tidstabel[[#This Row],[År]])*((1+PrisudviklingGenerelt)^Tidstabel[[#This Row],[År]]))),BlankTegn)</f>
        <v>.</v>
      </c>
      <c r="BD47" s="245">
        <f>IFERROR(IF(Tidstabel[[#This Row],[År]]&gt;Input_Tidshorisont,BlankTegn,
IF(Tidstabel[[#This Row],[År]]=0,-VS_Enhedspris,0)),BlankTegn)</f>
        <v>0</v>
      </c>
      <c r="BE47" s="245" t="str">
        <f>IFERROR(IF(Tidstabel[[#This Row],[År]]&gt;Input_Tidshorisont,BlankTegn,
IF(Tidstabel[[#This Row],[År]]=0,VS_Enhedspris/VS_Levetid,BE46*((1+Tidstabel[[#This Row],[Kalkulationsrente]])^-1)*((1+PrisudviklingGenerelt)^1))),BlankTegn)</f>
        <v>.</v>
      </c>
      <c r="BF47" s="178" t="str">
        <f ca="1">IFERROR(IF(Tidstabel[[#This Row],[År]]&gt;Input_Tidshorisont,BlankTegn,
IF(VS_Vedligehold_i=1,IF(Tidstabel[[#This Row],[VS_Uds?]]=0,1,0),IF(MAX(BF46:OFFSET(BG46,2-VS_Vedligehold_i,0),Tidstabel[[#This Row],[VS_Uds?]])=0,1,0))),BlankTegn)</f>
        <v>.</v>
      </c>
      <c r="BG47" s="178" t="str">
        <f>IFERROR(IF(Tidstabel[[#This Row],[År]]&gt;Input_Tidshorisont,BlankTegn,
IF(Tidstabel[[#This Row],[År]]=0,1,IF(MOD(Tidstabel[[#This Row],[År]],VS_Levetid)=0,1,IF(Tidstabel[[#This Row],[År]]=Input_Tidshorisont,0,0)))),BlankTegn)</f>
        <v>.</v>
      </c>
      <c r="BH47" s="245" t="str">
        <f ca="1">IFERROR(IF(Tidstabel[[#This Row],[År]]&gt;Input_Tidshorisont,BlankTegn,
VS_Vedligehold_p*-VS_Enhedspris*Tidstabel[[#This Row],[VS_Ved?]]*((1+Tidstabel[[#This Row],[Kalkulationsrente]])^-Tidstabel[[#This Row],[År]])*((1+PrisudviklingGenerelt)^Tidstabel[[#This Row],[År]])),BlankTegn)</f>
        <v>.</v>
      </c>
      <c r="BI47" s="245" t="str">
        <f>IFERROR(IF(Tidstabel[[#This Row],[År]]&gt;Input_Tidshorisont,BlankTegn,
IF(Tidstabel[[#This Row],[År]]=0,VS_Enhedspris,SUM(BI46:BJ46)*((1+Tidstabel[[#This Row],[Kalkulationsrente]])^-1)*((1+PrisudviklingGenerelt)^1)-Tidstabel[[#This Row],[VS_Afskrivning]])),BlankTegn)</f>
        <v>.</v>
      </c>
      <c r="BJ47" s="245" t="str">
        <f>IFERROR(IF(Tidstabel[[#This Row],[År]]&gt;Input_Tidshorisont,BlankTegn,
IF(Tidstabel[[#This Row],[År]]=0,0,Tidstabel[[#This Row],[VS_Uds?]]*VS_Enhedspris*((1+Tidstabel[[#This Row],[Kalkulationsrente]])^-Tidstabel[[#This Row],[År]])*((1+PrisudviklingGenerelt)^Tidstabel[[#This Row],[År]]))),BlankTegn)</f>
        <v>.</v>
      </c>
      <c r="BK47" s="262" t="str">
        <f>IFERROR(IF(Tidstabel[[#This Row],[År]]&gt;Input_Tidshorisont,BlankTegn,
IF(Tidstabel[[#This Row],[År]]=0,0,Tidstabel[[#This Row],[VS_Uds?]]*-VS_Enhedspris*VS_Genoprettelse*((1+Tidstabel[[#This Row],[Kalkulationsrente]])^-Tidstabel[[#This Row],[År]])*((1+PrisudviklingGenerelt)^Tidstabel[[#This Row],[År]]))),BlankTegn)</f>
        <v>.</v>
      </c>
      <c r="BL47" s="245">
        <f>IFERROR(IF(Tidstabel[[#This Row],[År]]&gt;Input_Tidshorisont,BlankTegn,
IF(Tidstabel[[#This Row],[År]]=0,-EI_Enhedspris,0)),BlankTegn)</f>
        <v>0</v>
      </c>
      <c r="BM47" s="245" t="str">
        <f>IFERROR(IF(Tidstabel[[#This Row],[År]]&gt;Input_Tidshorisont,BlankTegn,
IF(Tidstabel[[#This Row],[År]]=0,EI_Enhedspris/EI_Levetid,BM46*((1+Tidstabel[[#This Row],[Kalkulationsrente]])^-1)*((1+PrisudviklingGenerelt)^1))),BlankTegn)</f>
        <v>.</v>
      </c>
      <c r="BN47" s="178" t="str">
        <f ca="1">IFERROR(IF(Tidstabel[[#This Row],[År]]&gt;Input_Tidshorisont,BlankTegn,
IF(EI_Vedligehold_i=1,IF(Tidstabel[[#This Row],[EI_Uds?]]=0,1,0),IF(MAX(BN46:OFFSET(BO46,2-EI_Vedligehold_i,0),Tidstabel[[#This Row],[EI_Uds?]])=0,1,0))),BlankTegn)</f>
        <v>.</v>
      </c>
      <c r="BO47" s="178" t="str">
        <f>IFERROR(IF(Tidstabel[[#This Row],[År]]&gt;Input_Tidshorisont,BlankTegn,
IF(Tidstabel[[#This Row],[År]]=0,1,IF(MOD(Tidstabel[[#This Row],[År]],EI_Levetid)=0,1,IF(Tidstabel[[#This Row],[År]]=Input_Tidshorisont,0,0)))),BlankTegn)</f>
        <v>.</v>
      </c>
      <c r="BP47" s="245" t="str">
        <f ca="1">IFERROR(IF(Tidstabel[[#This Row],[År]]&gt;Input_Tidshorisont,BlankTegn,
EI_Vedligehold_p*-EI_Enhedspris*Tidstabel[[#This Row],[EI_Ved?]]*((1+Tidstabel[[#This Row],[Kalkulationsrente]])^-Tidstabel[[#This Row],[År]])*((1+PrisudviklingGenerelt)^Tidstabel[[#This Row],[År]])),BlankTegn)</f>
        <v>.</v>
      </c>
      <c r="BQ47" s="245" t="str">
        <f>IFERROR(IF(Tidstabel[[#This Row],[År]]&gt;Input_Tidshorisont,BlankTegn,
IF(Tidstabel[[#This Row],[År]]=0,EI_Enhedspris,SUM(BQ46:BR46)*((1+Tidstabel[[#This Row],[Kalkulationsrente]])^-1)*((1+PrisudviklingGenerelt)^1)-Tidstabel[[#This Row],[EI_Afskrivning]])),BlankTegn)</f>
        <v>.</v>
      </c>
      <c r="BR47" s="245" t="str">
        <f>IFERROR(IF(Tidstabel[[#This Row],[År]]&gt;Input_Tidshorisont,BlankTegn,
IF(Tidstabel[[#This Row],[År]]=0,0,Tidstabel[[#This Row],[EI_Uds?]]*EI_Enhedspris*((1+Tidstabel[[#This Row],[Kalkulationsrente]])^-Tidstabel[[#This Row],[År]])*((1+PrisudviklingGenerelt)^Tidstabel[[#This Row],[År]]))),BlankTegn)</f>
        <v>.</v>
      </c>
      <c r="BS47" s="262" t="str">
        <f>IFERROR(IF(Tidstabel[[#This Row],[År]]&gt;Input_Tidshorisont,BlankTegn,
IF(Tidstabel[[#This Row],[År]]=0,0,Tidstabel[[#This Row],[EI_Uds?]]*-EI_Enhedspris*EI_Genoprettelse*((1+Tidstabel[[#This Row],[Kalkulationsrente]])^-Tidstabel[[#This Row],[År]])*((1+PrisudviklingGenerelt)^Tidstabel[[#This Row],[År]]))),BlankTegn)</f>
        <v>.</v>
      </c>
      <c r="BT47" s="245">
        <f>IFERROR(IF(Tidstabel[[#This Row],[År]]&gt;Input_Tidshorisont,BlankTegn,
IF(Tidstabel[[#This Row],[År]]=0,-AP_Enhedspris,0)),BlankTegn)</f>
        <v>0</v>
      </c>
      <c r="BU47" s="245" t="str">
        <f>IFERROR(IF(Tidstabel[[#This Row],[År]]&gt;Input_Tidshorisont,BlankTegn,
IF(Tidstabel[[#This Row],[År]]=0,AP_Enhedspris/AP_Levetid,BU46*((1+Tidstabel[[#This Row],[Kalkulationsrente]])^-1)*((1+PrisudviklingGenerelt)^1))),BlankTegn)</f>
        <v>.</v>
      </c>
      <c r="BV47" s="178" t="str">
        <f ca="1">IFERROR(IF(Tidstabel[[#This Row],[År]]&gt;Input_Tidshorisont,BlankTegn,
IF(AP_Vedligehold_i=1,IF(Tidstabel[[#This Row],[AP_Uds?]]=0,1,0),IF(MAX(BV46:OFFSET(BW46,2-AP_Vedligehold_i,0),Tidstabel[[#This Row],[AP_Uds?]])=0,1,0))),BlankTegn)</f>
        <v>.</v>
      </c>
      <c r="BW47" s="178" t="str">
        <f>IFERROR(IF(Tidstabel[[#This Row],[År]]&gt;Input_Tidshorisont,BlankTegn,
IF(Tidstabel[[#This Row],[År]]=0,1,IF(MOD(Tidstabel[[#This Row],[År]],AP_Levetid)=0,1,IF(Tidstabel[[#This Row],[År]]=Input_Tidshorisont,0,0)))),BlankTegn)</f>
        <v>.</v>
      </c>
      <c r="BX47" s="245" t="str">
        <f ca="1">IFERROR(IF(Tidstabel[[#This Row],[År]]&gt;Input_Tidshorisont,BlankTegn,
AP_Vedligehold_p*-AP_Enhedspris*Tidstabel[[#This Row],[AP_Ved?]]*((1+Tidstabel[[#This Row],[Kalkulationsrente]])^-Tidstabel[[#This Row],[År]])*((1+PrisudviklingGenerelt)^Tidstabel[[#This Row],[År]])),BlankTegn)</f>
        <v>.</v>
      </c>
      <c r="BY47" s="245" t="str">
        <f>IFERROR(IF(Tidstabel[[#This Row],[År]]&gt;Input_Tidshorisont,BlankTegn,
IF(Tidstabel[[#This Row],[År]]=0,AP_Enhedspris,SUM(BY46:BZ46)*((1+Tidstabel[[#This Row],[Kalkulationsrente]])^-1)*((1+PrisudviklingGenerelt)^1)-Tidstabel[[#This Row],[AP_Afskrivning]])),BlankTegn)</f>
        <v>.</v>
      </c>
      <c r="BZ47" s="245" t="str">
        <f>IFERROR(IF(Tidstabel[[#This Row],[År]]&gt;Input_Tidshorisont,BlankTegn,
IF(Tidstabel[[#This Row],[År]]=0,0,Tidstabel[[#This Row],[AP_Uds?]]*AP_Enhedspris*((1+Tidstabel[[#This Row],[Kalkulationsrente]])^-Tidstabel[[#This Row],[År]])*((1+PrisudviklingGenerelt)^Tidstabel[[#This Row],[År]]))),BlankTegn)</f>
        <v>.</v>
      </c>
      <c r="CA47" s="262" t="str">
        <f>IFERROR(IF(Tidstabel[[#This Row],[År]]&gt;Input_Tidshorisont,BlankTegn,
IF(Tidstabel[[#This Row],[År]]=0,0,Tidstabel[[#This Row],[AP_Uds?]]*-AP_Enhedspris*AP_Genoprettelse*((1+Tidstabel[[#This Row],[Kalkulationsrente]])^-Tidstabel[[#This Row],[År]])*((1+PrisudviklingGenerelt)^Tidstabel[[#This Row],[År]]))),BlankTegn)</f>
        <v>.</v>
      </c>
      <c r="CB47" s="245">
        <f>IFERROR(IF(Tidstabel[[#This Row],[År]]&gt;Input_Tidshorisont,BlankTegn,
IF(Tidstabel[[#This Row],[År]]=0,-SK_Enhedspris,0)),BlankTegn)</f>
        <v>0</v>
      </c>
      <c r="CC47" s="245" t="str">
        <f>IFERROR(IF(Tidstabel[[#This Row],[År]]&gt;Input_Tidshorisont,BlankTegn,
IF(Tidstabel[[#This Row],[År]]=0,SK_Enhedspris/SK_Levetid,CC46*((1+Tidstabel[[#This Row],[Kalkulationsrente]])^-1)*((1+PrisudviklingGenerelt)^1))),BlankTegn)</f>
        <v>.</v>
      </c>
      <c r="CD47" s="178" t="str">
        <f ca="1">IFERROR(IF(Tidstabel[[#This Row],[År]]&gt;Input_Tidshorisont,BlankTegn,
IF(SK_Vedligehold_i=1,IF(Tidstabel[[#This Row],[SK_Uds?]]=0,1,0),IF(MAX(CD46:OFFSET(CE46,2-SK_Vedligehold_i,0),Tidstabel[[#This Row],[SK_Uds?]])=0,1,0))),BlankTegn)</f>
        <v>.</v>
      </c>
      <c r="CE47" s="178" t="str">
        <f>IFERROR(IF(Tidstabel[[#This Row],[År]]&gt;Input_Tidshorisont,BlankTegn,
IF(Tidstabel[[#This Row],[År]]=0,1,IF(MOD(Tidstabel[[#This Row],[År]],SK_Levetid)=0,1,IF(Tidstabel[[#This Row],[År]]=Input_Tidshorisont,0,0)))),BlankTegn)</f>
        <v>.</v>
      </c>
      <c r="CF47" s="245" t="str">
        <f ca="1">IFERROR(IF(Tidstabel[[#This Row],[År]]&gt;Input_Tidshorisont,BlankTegn,
SK_Vedligehold_p*-SK_Enhedspris*Tidstabel[[#This Row],[SK_Ved?]]*((1+Tidstabel[[#This Row],[Kalkulationsrente]])^-Tidstabel[[#This Row],[År]])*((1+PrisudviklingGenerelt)^Tidstabel[[#This Row],[År]])),BlankTegn)</f>
        <v>.</v>
      </c>
      <c r="CG47" s="245" t="str">
        <f>IFERROR(IF(Tidstabel[[#This Row],[År]]&gt;Input_Tidshorisont,BlankTegn,
IF(Tidstabel[[#This Row],[År]]=0,SK_Enhedspris,SUM(CG46:CH46)*((1+Tidstabel[[#This Row],[Kalkulationsrente]])^-1)*((1+PrisudviklingGenerelt)^1)-Tidstabel[[#This Row],[SK_Afskrivning]])),BlankTegn)</f>
        <v>.</v>
      </c>
      <c r="CH47" s="245" t="str">
        <f>IFERROR(IF(Tidstabel[[#This Row],[År]]&gt;Input_Tidshorisont,BlankTegn,
IF(Tidstabel[[#This Row],[År]]=0,0,Tidstabel[[#This Row],[SK_Uds?]]*SK_Enhedspris*((1+Tidstabel[[#This Row],[Kalkulationsrente]])^-Tidstabel[[#This Row],[År]])*((1+PrisudviklingGenerelt)^Tidstabel[[#This Row],[År]]))),BlankTegn)</f>
        <v>.</v>
      </c>
      <c r="CI47" s="262" t="str">
        <f>IFERROR(IF(Tidstabel[[#This Row],[År]]&gt;Input_Tidshorisont,BlankTegn,
IF(Tidstabel[[#This Row],[År]]=0,0,Tidstabel[[#This Row],[SK_Uds?]]*-SK_Enhedspris*SK_Genoprettelse*((1+Tidstabel[[#This Row],[Kalkulationsrente]])^-Tidstabel[[#This Row],[År]])*((1+PrisudviklingGenerelt)^Tidstabel[[#This Row],[År]]))),BlankTegn)</f>
        <v>.</v>
      </c>
      <c r="CJ47" s="19"/>
    </row>
    <row r="48" spans="1:88">
      <c r="A48" s="250">
        <v>41</v>
      </c>
      <c r="B48" s="250">
        <f>Input_Etableringsår+Tidstabel[[#This Row],[År]]</f>
        <v>2065</v>
      </c>
      <c r="C48" s="274" cm="1">
        <f t="array" ref="C48">_xlfn.IFS(Tidstabel[[#This Row],[År]]&gt;KR_Trin3_Tærskel,KR_Trin3_Rente,Tidstabel[[#This Row],[År]]&gt;KR_Trin2_Tærskel,KR_Trin2_Rente,Tidstabel[[#This Row],[År]]&gt;KR_Trin1_Tærskel,KR_Trin1_Rente,Tidstabel[[#This Row],[År]]&gt;KR_Trin0_Tærskel,KR_Trin0_Rente)</f>
        <v>2.5000000000000001E-2</v>
      </c>
      <c r="D48" s="142" t="str" cm="1">
        <f t="array" ref="D48">IFERROR(
INDEX(Range_Materiale_ÅrligeEmissioner,MATCH(1,(Materialedata[Komponent]=FB_Titel)*(Materialedata[Materiale]=FB_Materiale),0),MATCH(Tidstabel[[#This Row],[År]],Range_Materiale_År,0)),BlankTegn)</f>
        <v>.</v>
      </c>
      <c r="E48" s="142" t="str" cm="1">
        <f t="array" ref="E48">IFERROR(
INDEX(Range_Materiale_ÅrligeEmissioner,MATCH(1,(Materialedata[Komponent]=SK_Titel)*(Materialedata[Materiale]=SK_Materiale),0),MATCH(Tidstabel[[#This Row],[År]],Range_Materiale_År,0)),BlankTegn)</f>
        <v>.</v>
      </c>
      <c r="F48" s="142" t="str" cm="1">
        <f t="array" ref="F48">IFERROR(
INDEX(Range_Materiale_ÅrligeEmissioner,MATCH(1,(Materialedata[Komponent]=EI_Titel)*(Materialedata[Materiale]=EI_Materiale),0),MATCH(Tidstabel[[#This Row],[År]],Range_Materiale_År,0)),BlankTegn)</f>
        <v>.</v>
      </c>
      <c r="G48" s="142" t="str" cm="1">
        <f t="array" ref="G48">IFERROR(
INDEX(Range_Materiale_ÅrligeEmissioner,MATCH(1,(Materialedata[Komponent]=AP_Titel)*(Materialedata[Materiale]=AP_Materiale),0),MATCH(Tidstabel[[#This Row],[År]],Range_Materiale_År,0)),BlankTegn)</f>
        <v>.</v>
      </c>
      <c r="H48" s="142" t="str" cm="1">
        <f t="array" ref="H48">IFERROR(
INDEX(Range_Materiale_ÅrligeEmissioner,MATCH(1,(Materialedata[Komponent]=VS_Titel)*(Materialedata[Materiale]=VS_Materiale),0),MATCH(Tidstabel[[#This Row],[År]],Range_Materiale_År,0)),BlankTegn)</f>
        <v>.</v>
      </c>
      <c r="I48" s="142" t="str">
        <f>IFERROR(
IF(SUM(Tidstabel[[#This Row],[Facadebeklædning]:[Vindspærre]])=0,BlankTegn,
SUM(Tidstabel[[#This Row],[Facadebeklædning]:[Vindspærre]])),BlankTegn)</f>
        <v>.</v>
      </c>
      <c r="J48" s="139">
        <f>IF(Tidstabel[[#This Row],[År]]&gt;Input_Tidshorisont,BlankTegn,
A5_ElVarmeBrændstofByggeplads)</f>
        <v>0.25</v>
      </c>
      <c r="K48" s="142" t="str">
        <f>IFERROR(IF(Tidstabel[[#This Row],[År]]&gt;Input_Tidshorisont,BlankTegn,
-1*INDEX(Range_Energi_ÅrligBesparelse,MATCH(Input_EksisterendeFacade,Energiberegning[Ydervæg],0),MATCH(Tidstabel[[#This Row],[Årstal]],Range_Energi_Årstal,0))),BlankTegn)</f>
        <v>.</v>
      </c>
      <c r="L48" s="142">
        <f>IF(Tidstabel[[#This Row],[År]]&gt;Input_Tidshorisont,BlankTegn,
(Tidstabel[[#This Row],[År]]+1)*(SUM(Vedligeholdelsesmaterialer[Facadefarve],Vedligeholdelsesmaterialer[Grunder og mellemmaling])/12+SUM(Vedligeholdelsesmaterialer[Puds])/30))</f>
        <v>13.643880005</v>
      </c>
      <c r="M48" s="142" t="str">
        <f>IFERROR(IF(Tidstabel[[#This Row],[År]]&gt;Input_Tidshorisont,BlankTegn,
Tidstabel[[#This Row],[Materialer_Total]]+Tidstabel[[#This Row],[Byggeprocess]]),BlankTegn)</f>
        <v>.</v>
      </c>
      <c r="N48" s="142" t="str">
        <f>IFERROR(IF(Tidstabel[[#This Row],[År]]&gt;Input_Tidshorisont,BlankTegn,
Tidstabel[[#This Row],[Energibesparelse]]+Tidstabel[[#This Row],[Emission_Brutto]]),BlankTegn)</f>
        <v>.</v>
      </c>
      <c r="O48" s="142" t="str">
        <f>IFERROR(IF(Tidstabel[[#This Row],[År]]&gt;Input_Tidshorisont,BlankTegn,
Tidstabel[[#This Row],[Emission_Netto]]-Tidstabel[[#This Row],[Vedligehold_EksisterendeFacade]]),BlankTegn)</f>
        <v>.</v>
      </c>
      <c r="P48" s="271" t="str">
        <f>IFERROR(IF(Tidstabel[[#This Row],[År]]&gt;Input_Tidshorisont,BlankTegn,
IF(AND(Tidstabel[[#This Row],[Emission_Netto]]-Tidstabel[[#This Row],[Vedligehold_EksisterendeFacade]]&gt;0,N49-L49&lt;0),-1,IF(AND(Tidstabel[[#This Row],[Emission_Netto]]-Tidstabel[[#This Row],[Vedligehold_EksisterendeFacade]]&lt;0,N49-L49&gt;0),1,0))),BlankTegn)</f>
        <v>.</v>
      </c>
      <c r="Q48" s="174" t="str">
        <f>IF(Tidstabel[[#This Row],[År]]&gt;Input_Tidshorisont,BlankTegn,
IF(Tidstabel[[#This Row],[LCA-Skæring]]=-1,SUM(Tidstabel[[#This Row],[År]]*(1-ABS(Tidstabel[[#This Row],[LCA-Difference]])/(ABS(Tidstabel[[#This Row],[LCA-Difference]])+ABS(O49))),A49*(1-ABS(O49)/(ABS(Tidstabel[[#This Row],[LCA-Difference]])+ABS(O49)))),"-"))</f>
        <v>-</v>
      </c>
      <c r="R48" s="174" t="str">
        <f>IF(Tidstabel[[#This Row],[År]]&gt;Input_Tidshorisont,BlankTegn,
IF(Tidstabel[[#This Row],[LCA-Skæring]]=-1,SUM(Tidstabel[[#This Row],[Emission_Netto]]*(1-ABS(Tidstabel[[#This Row],[LCA-Difference]])/(ABS(Tidstabel[[#This Row],[LCA-Difference]])+ABS(O49))),N49*(1-ABS(O49)/(ABS(Tidstabel[[#This Row],[LCA-Difference]])+ABS(O49)))),"-"))</f>
        <v>-</v>
      </c>
      <c r="S48" s="174" t="str">
        <f>IF(Tidstabel[[#This Row],[År]]&gt;Input_Tidshorisont,BlankTegn,
IF(Tidstabel[[#This Row],[LCA-Skæring]]=1,SUM(Tidstabel[[#This Row],[År]]*(1-ABS(Tidstabel[[#This Row],[LCA-Difference]])/(ABS(Tidstabel[[#This Row],[LCA-Difference]])+ABS(O49))),A49*(1-ABS(O49)/(ABS(Tidstabel[[#This Row],[LCA-Difference]])+ABS(O49)))),"-"))</f>
        <v>-</v>
      </c>
      <c r="T48" s="264" t="str">
        <f>IF(Tidstabel[[#This Row],[År]]&gt;Input_Tidshorisont,BlankTegn,
IF(Tidstabel[[#This Row],[LCA-Skæring]]=1,SUM(Tidstabel[[#This Row],[Emission_Netto]]*(1-ABS(Tidstabel[[#This Row],[LCA-Difference]])/(ABS(Tidstabel[[#This Row],[LCA-Difference]])+ABS(O49))),N49*(1-ABS(O49)/(ABS(Tidstabel[[#This Row],[LCA-Difference]])+ABS(O49)))),"-"))</f>
        <v>-</v>
      </c>
      <c r="U48" s="142" t="str">
        <f ca="1">IFERROR(IF(Tidstabel[[#This Row],[År]]&gt;Input_Tidshorisont,BlankTegn,
Tidstabel[[#This Row],[NPV_Klimafacade]]-Tidstabel[[#This Row],[NPV_Eksisterende]]),BlankTegn)</f>
        <v>.</v>
      </c>
      <c r="V48" s="271" t="str">
        <f ca="1">IFERROR(IF(Tidstabel[[#This Row],[År]]&gt;Input_Tidshorisont,BlankTegn,
IF(AND(Tidstabel[[#This Row],[NPV_Klimafacade]]-Tidstabel[[#This Row],[NPV_Eksisterende]]&gt;0,AB49-AA49&lt;0),1,IF(AND(Tidstabel[[#This Row],[NPV_Klimafacade]]-Tidstabel[[#This Row],[NPV_Eksisterende]]&lt;0,AB49-AA49&gt;0),-1,0))),BlankTegn)</f>
        <v>.</v>
      </c>
      <c r="W48" s="174" t="str">
        <f ca="1">IF(Tidstabel[[#This Row],[År]]&gt;Input_Tidshorisont,BlankTegn,
IF(Tidstabel[[#This Row],[LCC-Skæring]]=-1,SUM(Tidstabel[[#This Row],[År]]*(1-ABS(Tidstabel[[#This Row],[LCC-Difference]])/(ABS(Tidstabel[[#This Row],[LCC-Difference]])+ABS(U49))),A49*(1-ABS(U49)/(ABS(Tidstabel[[#This Row],[LCC-Difference]])+ABS(U49)))),"-"))</f>
        <v>-</v>
      </c>
      <c r="X48" s="174" t="str">
        <f ca="1">IF(Tidstabel[[#This Row],[År]]&gt;Input_Tidshorisont,BlankTegn,
IF(Tidstabel[[#This Row],[LCC-Skæring]]=-1,SUM(Tidstabel[[#This Row],[NPV_Klimafacade]]*(1-ABS(Tidstabel[[#This Row],[LCC-Difference]])/(ABS(Tidstabel[[#This Row],[LCC-Difference]])+ABS(U49))),AB49*(1-ABS(U49)/(ABS(Tidstabel[[#This Row],[LCC-Difference]])+ABS(U49)))),"-"))</f>
        <v>-</v>
      </c>
      <c r="Y48" s="174" t="str">
        <f ca="1">IF(Tidstabel[[#This Row],[År]]&gt;Input_Tidshorisont,BlankTegn,
IF(Tidstabel[[#This Row],[LCC-Skæring]]=1,SUM(Tidstabel[[#This Row],[År]]*(1-ABS(Tidstabel[[#This Row],[LCC-Difference]])/(ABS(Tidstabel[[#This Row],[LCC-Difference]])+ABS(U49))),A49*(1-ABS(U49)/(ABS(Tidstabel[[#This Row],[LCC-Difference]])+ABS(U49)))),"-"))</f>
        <v>-</v>
      </c>
      <c r="Z48" s="264" t="str">
        <f ca="1">IF(Tidstabel[[#This Row],[År]]&gt;Input_Tidshorisont,BlankTegn,
IF(Tidstabel[[#This Row],[LCC-Skæring]]=1,SUM(Tidstabel[[#This Row],[NPV_Klimafacade]]*(1-ABS(Tidstabel[[#This Row],[LCC-Difference]])/(ABS(Tidstabel[[#This Row],[LCC-Difference]])+ABS(U49))),AB49*(1-ABS(U49)/(ABS(Tidstabel[[#This Row],[LCC-Difference]])+ABS(U49)))),"-"))</f>
        <v>-</v>
      </c>
      <c r="AA48" s="142">
        <f ca="1">IF(Tidstabel[[#This Row],[År]]&gt;Input_Tidshorisont,BlankTegn,
Tidstabel[[#This Row],[EF_Vedligehold_Aggregeret]])</f>
        <v>-248.33528238724662</v>
      </c>
      <c r="AB48"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48" s="142" t="str">
        <f>IFERROR(IF(Tidstabel[[#This Row],[År]]&gt;Input_Tidshorisont,BlankTegn,
Tidstabel[[#This Row],[KF_Anskaffelse_Aggregeret]]+Tidstabel[[#This Row],[KF_Engangsudgifter_Aggregeret]]),BlankTegn)</f>
        <v>.</v>
      </c>
      <c r="AD48" s="174">
        <f ca="1">IFERROR(IF(Tidstabel[[#This Row],[År]]&gt;Input_Tidshorisont,BlankTegn,
IF(Tidstabel[[#This Row],[År]]=0,0,Tidstabel[[#This Row],[NPV_Eksisterende]]*(Tidstabel[[#This Row],[Kalkulationsrente]]/(1-(1+Tidstabel[[#This Row],[Kalkulationsrente]])^-Tidstabel[[#This Row],[År]])))),BlankTegn)</f>
        <v>-9.7515939948526178</v>
      </c>
      <c r="AE48" s="264" t="str">
        <f ca="1">IFERROR(IF(Tidstabel[[#This Row],[År]]&gt;Input_Tidshorisont,BlankTegn,
IF(Tidstabel[[#This Row],[År]]=0,0,Tidstabel[[#This Row],[NPV_Klimafacade]]*(Tidstabel[[#This Row],[Kalkulationsrente]]/(1-(1+Tidstabel[[#This Row],[Kalkulationsrente]])^-Tidstabel[[#This Row],[År]])))),BlankTegn)</f>
        <v>.</v>
      </c>
      <c r="AF48" s="270">
        <f ca="1">IF(Tidstabel[[#This Row],[År]]&gt;Input_Tidshorisont,BlankTegn,
IF(EF_Vedligehold_i=1,IF(Tidstabel[[#This Row],[EF_Uds?]]=0,1,0),IF(MAX(AF47:OFFSET(AG47,2-EF_Vedligehold_i,0),Tidstabel[[#This Row],[EF_Uds?]])=0,1,0)))</f>
        <v>1</v>
      </c>
      <c r="AG48" s="181">
        <f>IF(Tidstabel[[#This Row],[År]]&gt;Input_Tidshorisont,BlankTegn,0)</f>
        <v>0</v>
      </c>
      <c r="AH48" s="263">
        <f ca="1">IF(Tidstabel[[#This Row],[År]]&gt;Input_Tidshorisont,BlankTegn,
Tidstabel[[#This Row],[EF_Ved?]]*EF_Vedligehold_p*-EF_Enhedspris*((1+Tidstabel[[#This Row],[Kalkulationsrente]])^-Tidstabel[[#This Row],[År]])*((1+PrisudviklingGenerelt)^Tidstabel[[#This Row],[År]]))</f>
        <v>-3.8690213270857563</v>
      </c>
      <c r="AI48" s="262">
        <f ca="1">IF(Tidstabel[[#This Row],[År]]&gt;Input_Tidshorisont,BlankTegn,
IF(Tidstabel[[#This Row],[År]]=0,Tidstabel[[#This Row],[EF_Vedligehold]],AI47+Tidstabel[[#This Row],[EF_Vedligehold]]))</f>
        <v>-248.33528238724662</v>
      </c>
      <c r="AJ48" s="245">
        <f>IFERROR(IF(Tidstabel[[#This Row],[År]]&gt;Input_Tidshorisont,BlankTegn,
Tidstabel[[#This Row],[FB_Anskaffelse]]+Tidstabel[[#This Row],[VS_Anskaffelse]]+Tidstabel[[#This Row],[EI_Anskaffelse]]+Tidstabel[[#This Row],[AP_Anskaffelse]]+Tidstabel[[#This Row],[SK_Anskaffelse]]),BlankTegn)</f>
        <v>0</v>
      </c>
      <c r="AK48" s="245" t="str">
        <f>IFERROR(IF(Tidstabel[[#This Row],[År]]&gt;Input_Tidshorisont,BlankTegn,
IF(Tidstabel[[#This Row],[År]]=0,Tidstabel[[#This Row],[KF_Anskaffelse]],AK47+Tidstabel[[#This Row],[KF_Anskaffelse]])),BlankTegn)</f>
        <v>.</v>
      </c>
      <c r="AL48" s="246" t="str">
        <f ca="1">IFERROR(IF(Tidstabel[[#This Row],[År]]&gt;Input_Tidshorisont,BlankTegn,
Tidstabel[[#This Row],[FB_Vedligehold]]+Tidstabel[[#This Row],[VS_Vedligehold]]+Tidstabel[[#This Row],[EI_Vedligehold]]+Tidstabel[[#This Row],[AP_Vedligehold]]+Tidstabel[[#This Row],[SK_Vedligehold]]),BlankTegn)</f>
        <v>.</v>
      </c>
      <c r="AM48" s="245" t="str">
        <f ca="1">IFERROR(IF(Tidstabel[[#This Row],[År]]&gt;Input_Tidshorisont,BlankTegn,
IF(Tidstabel[[#This Row],[År]]=0,Tidstabel[[#This Row],[KF_Vedligehold]],AM47+Tidstabel[[#This Row],[KF_Vedligehold]])),BlankTegn)</f>
        <v>.</v>
      </c>
      <c r="AN48"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48"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48" s="245" t="str">
        <f>IFERROR(IF(Tidstabel[[#This Row],[År]]&gt;Input_Tidshorisont,BlankTegn,
IF(Tidstabel[[#This Row],[År]]=0,Tidstabel[[#This Row],[KF_Udskiftning_Komponent]],AP47+Tidstabel[[#This Row],[KF_Udskiftning_Komponent]])),BlankTegn)</f>
        <v>.</v>
      </c>
      <c r="AQ48" s="245">
        <f>IF(Tidstabel[[#This Row],[År]]&gt;Input_Tidshorisont,BlankTegn,
IF(Tidstabel[[#This Row],[År]]=0,-SUM(Engangsudgifter[Udgift]),0))</f>
        <v>0</v>
      </c>
      <c r="AR48" s="245">
        <f>IFERROR(IF(Tidstabel[[#This Row],[År]]&gt;Input_Tidshorisont,BlankTegn,
IF(Tidstabel[[#This Row],[År]]=0,Tidstabel[[#This Row],[KF_Engangsudgifter]],AR47+Tidstabel[[#This Row],[KF_Engangsudgifter]])),BlankTegn)</f>
        <v>0</v>
      </c>
      <c r="AS48" s="315" t="str">
        <f>IFERROR(IF(Tidstabel[[#This Row],[År]]&gt;Input_Tidshorisont,BlankTegn,
-Energibesparelse_Årlig),BlankTegn)</f>
        <v>.</v>
      </c>
      <c r="AT48" s="245" t="str">
        <f>IFERROR(IF(Tidstabel[[#This Row],[År]]&gt;Input_Tidshorisont,BlankTegn,
IF(Tidstabel[[#This Row],[År]]=0,0,-Tidstabel[[#This Row],[KF_Energiforbrug]]*Input_Fjernvarmepris*((1+Tidstabel[[#This Row],[Kalkulationsrente]])^-Tidstabel[[#This Row],[År]])*((1+PrisudviklingFjernvarme)^Tidstabel[[#This Row],[År]]))),BlankTegn)</f>
        <v>.</v>
      </c>
      <c r="AU48" s="262" t="str">
        <f>IFERROR(IF(Tidstabel[[#This Row],[År]]&gt;Input_Tidshorisont,BlankTegn,
IF(Tidstabel[[#This Row],[År]]=0,Tidstabel[[#This Row],[KF_Forsyning]],AU47+Tidstabel[[#This Row],[KF_Forsyning]])),BlankTegn)</f>
        <v>.</v>
      </c>
      <c r="AV48" s="245">
        <f>IFERROR(IF(Tidstabel[[#This Row],[År]]&gt;Input_Tidshorisont,BlankTegn,
IF(Tidstabel[[#This Row],[År]]=0,-FB_Enhedspris,0)),BlankTegn)</f>
        <v>0</v>
      </c>
      <c r="AW48" s="245" t="str">
        <f>IFERROR(IF(Tidstabel[[#This Row],[År]]&gt;Input_Tidshorisont,BlankTegn,
IF(Tidstabel[[#This Row],[År]]=0,FB_Enhedspris/FB_Levetid,AW47*((1+Tidstabel[[#This Row],[Kalkulationsrente]])^-1)*((1+PrisudviklingGenerelt)^1))),BlankTegn)</f>
        <v>.</v>
      </c>
      <c r="AX48" s="178" t="str">
        <f ca="1">IFERROR(IF(Tidstabel[[#This Row],[År]]&gt;Input_Tidshorisont,BlankTegn,
IF(FB_Vedligehold_i=1,IF(Tidstabel[[#This Row],[FB_Uds?]]=0,1,0),IF(MAX(AX47:OFFSET(AY47,2-FB_Vedligehold_i,0),Tidstabel[[#This Row],[FB_Uds?]])=0,1,0))),BlankTegn)</f>
        <v>.</v>
      </c>
      <c r="AY48" s="178" t="str">
        <f>IFERROR(IF(Tidstabel[[#This Row],[År]]&gt;Input_Tidshorisont,BlankTegn,
IF(Tidstabel[[#This Row],[År]]=0,1,IF(MOD(Tidstabel[[#This Row],[År]],FB_Levetid)=0,1,IF(Tidstabel[[#This Row],[År]]=Input_Tidshorisont,0,0)))),BlankTegn)</f>
        <v>.</v>
      </c>
      <c r="AZ48" s="245" t="str">
        <f ca="1">IFERROR(IF(Tidstabel[[#This Row],[År]]&gt;Input_Tidshorisont,BlankTegn,
FB_Vedligehold_p*-FB_Enhedspris*Tidstabel[[#This Row],[FB_Ved?]]*((1+Tidstabel[[#This Row],[Kalkulationsrente]])^-Tidstabel[[#This Row],[År]])*((1+PrisudviklingGenerelt)^Tidstabel[[#This Row],[År]])),BlankTegn)</f>
        <v>.</v>
      </c>
      <c r="BA48" s="245" t="str">
        <f>IFERROR(IF(Tidstabel[[#This Row],[År]]&gt;Input_Tidshorisont,BlankTegn,
IF(Tidstabel[[#This Row],[År]]=0,FB_Enhedspris,SUM(BA47:BB47)*((1+Tidstabel[[#This Row],[Kalkulationsrente]])^-1)*((1+PrisudviklingGenerelt)^1)-Tidstabel[[#This Row],[FB_Afskrivning]])),BlankTegn)</f>
        <v>.</v>
      </c>
      <c r="BB48" s="245" t="str">
        <f>IFERROR(IF(Tidstabel[[#This Row],[År]]&gt;Input_Tidshorisont,BlankTegn,
IF(Tidstabel[[#This Row],[År]]=0,0,Tidstabel[[#This Row],[FB_Uds?]]*FB_Enhedspris*((1+Tidstabel[[#This Row],[Kalkulationsrente]])^-Tidstabel[[#This Row],[År]])*((1+PrisudviklingGenerelt)^Tidstabel[[#This Row],[År]]))),BlankTegn)</f>
        <v>.</v>
      </c>
      <c r="BC48" s="262" t="str">
        <f>IFERROR(IF(Tidstabel[[#This Row],[År]]&gt;Input_Tidshorisont,BlankTegn,
IF(Tidstabel[[#This Row],[År]]=0,0,Tidstabel[[#This Row],[FB_Uds?]]*-FB_Enhedspris*FB_Genoprettelse*((1+Tidstabel[[#This Row],[Kalkulationsrente]])^-Tidstabel[[#This Row],[År]])*((1+PrisudviklingGenerelt)^Tidstabel[[#This Row],[År]]))),BlankTegn)</f>
        <v>.</v>
      </c>
      <c r="BD48" s="245">
        <f>IFERROR(IF(Tidstabel[[#This Row],[År]]&gt;Input_Tidshorisont,BlankTegn,
IF(Tidstabel[[#This Row],[År]]=0,-VS_Enhedspris,0)),BlankTegn)</f>
        <v>0</v>
      </c>
      <c r="BE48" s="245" t="str">
        <f>IFERROR(IF(Tidstabel[[#This Row],[År]]&gt;Input_Tidshorisont,BlankTegn,
IF(Tidstabel[[#This Row],[År]]=0,VS_Enhedspris/VS_Levetid,BE47*((1+Tidstabel[[#This Row],[Kalkulationsrente]])^-1)*((1+PrisudviklingGenerelt)^1))),BlankTegn)</f>
        <v>.</v>
      </c>
      <c r="BF48" s="178" t="str">
        <f ca="1">IFERROR(IF(Tidstabel[[#This Row],[År]]&gt;Input_Tidshorisont,BlankTegn,
IF(VS_Vedligehold_i=1,IF(Tidstabel[[#This Row],[VS_Uds?]]=0,1,0),IF(MAX(BF47:OFFSET(BG47,2-VS_Vedligehold_i,0),Tidstabel[[#This Row],[VS_Uds?]])=0,1,0))),BlankTegn)</f>
        <v>.</v>
      </c>
      <c r="BG48" s="178" t="str">
        <f>IFERROR(IF(Tidstabel[[#This Row],[År]]&gt;Input_Tidshorisont,BlankTegn,
IF(Tidstabel[[#This Row],[År]]=0,1,IF(MOD(Tidstabel[[#This Row],[År]],VS_Levetid)=0,1,IF(Tidstabel[[#This Row],[År]]=Input_Tidshorisont,0,0)))),BlankTegn)</f>
        <v>.</v>
      </c>
      <c r="BH48" s="245" t="str">
        <f ca="1">IFERROR(IF(Tidstabel[[#This Row],[År]]&gt;Input_Tidshorisont,BlankTegn,
VS_Vedligehold_p*-VS_Enhedspris*Tidstabel[[#This Row],[VS_Ved?]]*((1+Tidstabel[[#This Row],[Kalkulationsrente]])^-Tidstabel[[#This Row],[År]])*((1+PrisudviklingGenerelt)^Tidstabel[[#This Row],[År]])),BlankTegn)</f>
        <v>.</v>
      </c>
      <c r="BI48" s="245" t="str">
        <f>IFERROR(IF(Tidstabel[[#This Row],[År]]&gt;Input_Tidshorisont,BlankTegn,
IF(Tidstabel[[#This Row],[År]]=0,VS_Enhedspris,SUM(BI47:BJ47)*((1+Tidstabel[[#This Row],[Kalkulationsrente]])^-1)*((1+PrisudviklingGenerelt)^1)-Tidstabel[[#This Row],[VS_Afskrivning]])),BlankTegn)</f>
        <v>.</v>
      </c>
      <c r="BJ48" s="245" t="str">
        <f>IFERROR(IF(Tidstabel[[#This Row],[År]]&gt;Input_Tidshorisont,BlankTegn,
IF(Tidstabel[[#This Row],[År]]=0,0,Tidstabel[[#This Row],[VS_Uds?]]*VS_Enhedspris*((1+Tidstabel[[#This Row],[Kalkulationsrente]])^-Tidstabel[[#This Row],[År]])*((1+PrisudviklingGenerelt)^Tidstabel[[#This Row],[År]]))),BlankTegn)</f>
        <v>.</v>
      </c>
      <c r="BK48" s="262" t="str">
        <f>IFERROR(IF(Tidstabel[[#This Row],[År]]&gt;Input_Tidshorisont,BlankTegn,
IF(Tidstabel[[#This Row],[År]]=0,0,Tidstabel[[#This Row],[VS_Uds?]]*-VS_Enhedspris*VS_Genoprettelse*((1+Tidstabel[[#This Row],[Kalkulationsrente]])^-Tidstabel[[#This Row],[År]])*((1+PrisudviklingGenerelt)^Tidstabel[[#This Row],[År]]))),BlankTegn)</f>
        <v>.</v>
      </c>
      <c r="BL48" s="245">
        <f>IFERROR(IF(Tidstabel[[#This Row],[År]]&gt;Input_Tidshorisont,BlankTegn,
IF(Tidstabel[[#This Row],[År]]=0,-EI_Enhedspris,0)),BlankTegn)</f>
        <v>0</v>
      </c>
      <c r="BM48" s="245" t="str">
        <f>IFERROR(IF(Tidstabel[[#This Row],[År]]&gt;Input_Tidshorisont,BlankTegn,
IF(Tidstabel[[#This Row],[År]]=0,EI_Enhedspris/EI_Levetid,BM47*((1+Tidstabel[[#This Row],[Kalkulationsrente]])^-1)*((1+PrisudviklingGenerelt)^1))),BlankTegn)</f>
        <v>.</v>
      </c>
      <c r="BN48" s="178" t="str">
        <f ca="1">IFERROR(IF(Tidstabel[[#This Row],[År]]&gt;Input_Tidshorisont,BlankTegn,
IF(EI_Vedligehold_i=1,IF(Tidstabel[[#This Row],[EI_Uds?]]=0,1,0),IF(MAX(BN47:OFFSET(BO47,2-EI_Vedligehold_i,0),Tidstabel[[#This Row],[EI_Uds?]])=0,1,0))),BlankTegn)</f>
        <v>.</v>
      </c>
      <c r="BO48" s="178" t="str">
        <f>IFERROR(IF(Tidstabel[[#This Row],[År]]&gt;Input_Tidshorisont,BlankTegn,
IF(Tidstabel[[#This Row],[År]]=0,1,IF(MOD(Tidstabel[[#This Row],[År]],EI_Levetid)=0,1,IF(Tidstabel[[#This Row],[År]]=Input_Tidshorisont,0,0)))),BlankTegn)</f>
        <v>.</v>
      </c>
      <c r="BP48" s="245" t="str">
        <f ca="1">IFERROR(IF(Tidstabel[[#This Row],[År]]&gt;Input_Tidshorisont,BlankTegn,
EI_Vedligehold_p*-EI_Enhedspris*Tidstabel[[#This Row],[EI_Ved?]]*((1+Tidstabel[[#This Row],[Kalkulationsrente]])^-Tidstabel[[#This Row],[År]])*((1+PrisudviklingGenerelt)^Tidstabel[[#This Row],[År]])),BlankTegn)</f>
        <v>.</v>
      </c>
      <c r="BQ48" s="245" t="str">
        <f>IFERROR(IF(Tidstabel[[#This Row],[År]]&gt;Input_Tidshorisont,BlankTegn,
IF(Tidstabel[[#This Row],[År]]=0,EI_Enhedspris,SUM(BQ47:BR47)*((1+Tidstabel[[#This Row],[Kalkulationsrente]])^-1)*((1+PrisudviklingGenerelt)^1)-Tidstabel[[#This Row],[EI_Afskrivning]])),BlankTegn)</f>
        <v>.</v>
      </c>
      <c r="BR48" s="245" t="str">
        <f>IFERROR(IF(Tidstabel[[#This Row],[År]]&gt;Input_Tidshorisont,BlankTegn,
IF(Tidstabel[[#This Row],[År]]=0,0,Tidstabel[[#This Row],[EI_Uds?]]*EI_Enhedspris*((1+Tidstabel[[#This Row],[Kalkulationsrente]])^-Tidstabel[[#This Row],[År]])*((1+PrisudviklingGenerelt)^Tidstabel[[#This Row],[År]]))),BlankTegn)</f>
        <v>.</v>
      </c>
      <c r="BS48" s="262" t="str">
        <f>IFERROR(IF(Tidstabel[[#This Row],[År]]&gt;Input_Tidshorisont,BlankTegn,
IF(Tidstabel[[#This Row],[År]]=0,0,Tidstabel[[#This Row],[EI_Uds?]]*-EI_Enhedspris*EI_Genoprettelse*((1+Tidstabel[[#This Row],[Kalkulationsrente]])^-Tidstabel[[#This Row],[År]])*((1+PrisudviklingGenerelt)^Tidstabel[[#This Row],[År]]))),BlankTegn)</f>
        <v>.</v>
      </c>
      <c r="BT48" s="245">
        <f>IFERROR(IF(Tidstabel[[#This Row],[År]]&gt;Input_Tidshorisont,BlankTegn,
IF(Tidstabel[[#This Row],[År]]=0,-AP_Enhedspris,0)),BlankTegn)</f>
        <v>0</v>
      </c>
      <c r="BU48" s="245" t="str">
        <f>IFERROR(IF(Tidstabel[[#This Row],[År]]&gt;Input_Tidshorisont,BlankTegn,
IF(Tidstabel[[#This Row],[År]]=0,AP_Enhedspris/AP_Levetid,BU47*((1+Tidstabel[[#This Row],[Kalkulationsrente]])^-1)*((1+PrisudviklingGenerelt)^1))),BlankTegn)</f>
        <v>.</v>
      </c>
      <c r="BV48" s="178" t="str">
        <f ca="1">IFERROR(IF(Tidstabel[[#This Row],[År]]&gt;Input_Tidshorisont,BlankTegn,
IF(AP_Vedligehold_i=1,IF(Tidstabel[[#This Row],[AP_Uds?]]=0,1,0),IF(MAX(BV47:OFFSET(BW47,2-AP_Vedligehold_i,0),Tidstabel[[#This Row],[AP_Uds?]])=0,1,0))),BlankTegn)</f>
        <v>.</v>
      </c>
      <c r="BW48" s="178" t="str">
        <f>IFERROR(IF(Tidstabel[[#This Row],[År]]&gt;Input_Tidshorisont,BlankTegn,
IF(Tidstabel[[#This Row],[År]]=0,1,IF(MOD(Tidstabel[[#This Row],[År]],AP_Levetid)=0,1,IF(Tidstabel[[#This Row],[År]]=Input_Tidshorisont,0,0)))),BlankTegn)</f>
        <v>.</v>
      </c>
      <c r="BX48" s="245" t="str">
        <f ca="1">IFERROR(IF(Tidstabel[[#This Row],[År]]&gt;Input_Tidshorisont,BlankTegn,
AP_Vedligehold_p*-AP_Enhedspris*Tidstabel[[#This Row],[AP_Ved?]]*((1+Tidstabel[[#This Row],[Kalkulationsrente]])^-Tidstabel[[#This Row],[År]])*((1+PrisudviklingGenerelt)^Tidstabel[[#This Row],[År]])),BlankTegn)</f>
        <v>.</v>
      </c>
      <c r="BY48" s="245" t="str">
        <f>IFERROR(IF(Tidstabel[[#This Row],[År]]&gt;Input_Tidshorisont,BlankTegn,
IF(Tidstabel[[#This Row],[År]]=0,AP_Enhedspris,SUM(BY47:BZ47)*((1+Tidstabel[[#This Row],[Kalkulationsrente]])^-1)*((1+PrisudviklingGenerelt)^1)-Tidstabel[[#This Row],[AP_Afskrivning]])),BlankTegn)</f>
        <v>.</v>
      </c>
      <c r="BZ48" s="245" t="str">
        <f>IFERROR(IF(Tidstabel[[#This Row],[År]]&gt;Input_Tidshorisont,BlankTegn,
IF(Tidstabel[[#This Row],[År]]=0,0,Tidstabel[[#This Row],[AP_Uds?]]*AP_Enhedspris*((1+Tidstabel[[#This Row],[Kalkulationsrente]])^-Tidstabel[[#This Row],[År]])*((1+PrisudviklingGenerelt)^Tidstabel[[#This Row],[År]]))),BlankTegn)</f>
        <v>.</v>
      </c>
      <c r="CA48" s="262" t="str">
        <f>IFERROR(IF(Tidstabel[[#This Row],[År]]&gt;Input_Tidshorisont,BlankTegn,
IF(Tidstabel[[#This Row],[År]]=0,0,Tidstabel[[#This Row],[AP_Uds?]]*-AP_Enhedspris*AP_Genoprettelse*((1+Tidstabel[[#This Row],[Kalkulationsrente]])^-Tidstabel[[#This Row],[År]])*((1+PrisudviklingGenerelt)^Tidstabel[[#This Row],[År]]))),BlankTegn)</f>
        <v>.</v>
      </c>
      <c r="CB48" s="245">
        <f>IFERROR(IF(Tidstabel[[#This Row],[År]]&gt;Input_Tidshorisont,BlankTegn,
IF(Tidstabel[[#This Row],[År]]=0,-SK_Enhedspris,0)),BlankTegn)</f>
        <v>0</v>
      </c>
      <c r="CC48" s="245" t="str">
        <f>IFERROR(IF(Tidstabel[[#This Row],[År]]&gt;Input_Tidshorisont,BlankTegn,
IF(Tidstabel[[#This Row],[År]]=0,SK_Enhedspris/SK_Levetid,CC47*((1+Tidstabel[[#This Row],[Kalkulationsrente]])^-1)*((1+PrisudviklingGenerelt)^1))),BlankTegn)</f>
        <v>.</v>
      </c>
      <c r="CD48" s="178" t="str">
        <f ca="1">IFERROR(IF(Tidstabel[[#This Row],[År]]&gt;Input_Tidshorisont,BlankTegn,
IF(SK_Vedligehold_i=1,IF(Tidstabel[[#This Row],[SK_Uds?]]=0,1,0),IF(MAX(CD47:OFFSET(CE47,2-SK_Vedligehold_i,0),Tidstabel[[#This Row],[SK_Uds?]])=0,1,0))),BlankTegn)</f>
        <v>.</v>
      </c>
      <c r="CE48" s="178" t="str">
        <f>IFERROR(IF(Tidstabel[[#This Row],[År]]&gt;Input_Tidshorisont,BlankTegn,
IF(Tidstabel[[#This Row],[År]]=0,1,IF(MOD(Tidstabel[[#This Row],[År]],SK_Levetid)=0,1,IF(Tidstabel[[#This Row],[År]]=Input_Tidshorisont,0,0)))),BlankTegn)</f>
        <v>.</v>
      </c>
      <c r="CF48" s="245" t="str">
        <f ca="1">IFERROR(IF(Tidstabel[[#This Row],[År]]&gt;Input_Tidshorisont,BlankTegn,
SK_Vedligehold_p*-SK_Enhedspris*Tidstabel[[#This Row],[SK_Ved?]]*((1+Tidstabel[[#This Row],[Kalkulationsrente]])^-Tidstabel[[#This Row],[År]])*((1+PrisudviklingGenerelt)^Tidstabel[[#This Row],[År]])),BlankTegn)</f>
        <v>.</v>
      </c>
      <c r="CG48" s="245" t="str">
        <f>IFERROR(IF(Tidstabel[[#This Row],[År]]&gt;Input_Tidshorisont,BlankTegn,
IF(Tidstabel[[#This Row],[År]]=0,SK_Enhedspris,SUM(CG47:CH47)*((1+Tidstabel[[#This Row],[Kalkulationsrente]])^-1)*((1+PrisudviklingGenerelt)^1)-Tidstabel[[#This Row],[SK_Afskrivning]])),BlankTegn)</f>
        <v>.</v>
      </c>
      <c r="CH48" s="245" t="str">
        <f>IFERROR(IF(Tidstabel[[#This Row],[År]]&gt;Input_Tidshorisont,BlankTegn,
IF(Tidstabel[[#This Row],[År]]=0,0,Tidstabel[[#This Row],[SK_Uds?]]*SK_Enhedspris*((1+Tidstabel[[#This Row],[Kalkulationsrente]])^-Tidstabel[[#This Row],[År]])*((1+PrisudviklingGenerelt)^Tidstabel[[#This Row],[År]]))),BlankTegn)</f>
        <v>.</v>
      </c>
      <c r="CI48" s="262" t="str">
        <f>IFERROR(IF(Tidstabel[[#This Row],[År]]&gt;Input_Tidshorisont,BlankTegn,
IF(Tidstabel[[#This Row],[År]]=0,0,Tidstabel[[#This Row],[SK_Uds?]]*-SK_Enhedspris*SK_Genoprettelse*((1+Tidstabel[[#This Row],[Kalkulationsrente]])^-Tidstabel[[#This Row],[År]])*((1+PrisudviklingGenerelt)^Tidstabel[[#This Row],[År]]))),BlankTegn)</f>
        <v>.</v>
      </c>
      <c r="CJ48" s="19"/>
    </row>
    <row r="49" spans="1:88">
      <c r="A49" s="250">
        <v>42</v>
      </c>
      <c r="B49" s="250">
        <f>Input_Etableringsår+Tidstabel[[#This Row],[År]]</f>
        <v>2066</v>
      </c>
      <c r="C49" s="274" cm="1">
        <f t="array" ref="C49">_xlfn.IFS(Tidstabel[[#This Row],[År]]&gt;KR_Trin3_Tærskel,KR_Trin3_Rente,Tidstabel[[#This Row],[År]]&gt;KR_Trin2_Tærskel,KR_Trin2_Rente,Tidstabel[[#This Row],[År]]&gt;KR_Trin1_Tærskel,KR_Trin1_Rente,Tidstabel[[#This Row],[År]]&gt;KR_Trin0_Tærskel,KR_Trin0_Rente)</f>
        <v>2.5000000000000001E-2</v>
      </c>
      <c r="D49" s="142" t="str" cm="1">
        <f t="array" ref="D49">IFERROR(
INDEX(Range_Materiale_ÅrligeEmissioner,MATCH(1,(Materialedata[Komponent]=FB_Titel)*(Materialedata[Materiale]=FB_Materiale),0),MATCH(Tidstabel[[#This Row],[År]],Range_Materiale_År,0)),BlankTegn)</f>
        <v>.</v>
      </c>
      <c r="E49" s="142" t="str" cm="1">
        <f t="array" ref="E49">IFERROR(
INDEX(Range_Materiale_ÅrligeEmissioner,MATCH(1,(Materialedata[Komponent]=SK_Titel)*(Materialedata[Materiale]=SK_Materiale),0),MATCH(Tidstabel[[#This Row],[År]],Range_Materiale_År,0)),BlankTegn)</f>
        <v>.</v>
      </c>
      <c r="F49" s="142" t="str" cm="1">
        <f t="array" ref="F49">IFERROR(
INDEX(Range_Materiale_ÅrligeEmissioner,MATCH(1,(Materialedata[Komponent]=EI_Titel)*(Materialedata[Materiale]=EI_Materiale),0),MATCH(Tidstabel[[#This Row],[År]],Range_Materiale_År,0)),BlankTegn)</f>
        <v>.</v>
      </c>
      <c r="G49" s="142" t="str" cm="1">
        <f t="array" ref="G49">IFERROR(
INDEX(Range_Materiale_ÅrligeEmissioner,MATCH(1,(Materialedata[Komponent]=AP_Titel)*(Materialedata[Materiale]=AP_Materiale),0),MATCH(Tidstabel[[#This Row],[År]],Range_Materiale_År,0)),BlankTegn)</f>
        <v>.</v>
      </c>
      <c r="H49" s="142" t="str" cm="1">
        <f t="array" ref="H49">IFERROR(
INDEX(Range_Materiale_ÅrligeEmissioner,MATCH(1,(Materialedata[Komponent]=VS_Titel)*(Materialedata[Materiale]=VS_Materiale),0),MATCH(Tidstabel[[#This Row],[År]],Range_Materiale_År,0)),BlankTegn)</f>
        <v>.</v>
      </c>
      <c r="I49" s="142" t="str">
        <f>IFERROR(
IF(SUM(Tidstabel[[#This Row],[Facadebeklædning]:[Vindspærre]])=0,BlankTegn,
SUM(Tidstabel[[#This Row],[Facadebeklædning]:[Vindspærre]])),BlankTegn)</f>
        <v>.</v>
      </c>
      <c r="J49" s="139">
        <f>IF(Tidstabel[[#This Row],[År]]&gt;Input_Tidshorisont,BlankTegn,
A5_ElVarmeBrændstofByggeplads)</f>
        <v>0.25</v>
      </c>
      <c r="K49" s="142" t="str">
        <f>IFERROR(IF(Tidstabel[[#This Row],[År]]&gt;Input_Tidshorisont,BlankTegn,
-1*INDEX(Range_Energi_ÅrligBesparelse,MATCH(Input_EksisterendeFacade,Energiberegning[Ydervæg],0),MATCH(Tidstabel[[#This Row],[Årstal]],Range_Energi_Årstal,0))),BlankTegn)</f>
        <v>.</v>
      </c>
      <c r="L49" s="142">
        <f>IF(Tidstabel[[#This Row],[År]]&gt;Input_Tidshorisont,BlankTegn,
(Tidstabel[[#This Row],[År]]+1)*(SUM(Vedligeholdelsesmaterialer[Facadefarve],Vedligeholdelsesmaterialer[Grunder og mellemmaling])/12+SUM(Vedligeholdelsesmaterialer[Puds])/30))</f>
        <v>13.968734290833332</v>
      </c>
      <c r="M49" s="142" t="str">
        <f>IFERROR(IF(Tidstabel[[#This Row],[År]]&gt;Input_Tidshorisont,BlankTegn,
Tidstabel[[#This Row],[Materialer_Total]]+Tidstabel[[#This Row],[Byggeprocess]]),BlankTegn)</f>
        <v>.</v>
      </c>
      <c r="N49" s="142" t="str">
        <f>IFERROR(IF(Tidstabel[[#This Row],[År]]&gt;Input_Tidshorisont,BlankTegn,
Tidstabel[[#This Row],[Energibesparelse]]+Tidstabel[[#This Row],[Emission_Brutto]]),BlankTegn)</f>
        <v>.</v>
      </c>
      <c r="O49" s="142" t="str">
        <f>IFERROR(IF(Tidstabel[[#This Row],[År]]&gt;Input_Tidshorisont,BlankTegn,
Tidstabel[[#This Row],[Emission_Netto]]-Tidstabel[[#This Row],[Vedligehold_EksisterendeFacade]]),BlankTegn)</f>
        <v>.</v>
      </c>
      <c r="P49" s="271" t="str">
        <f>IFERROR(IF(Tidstabel[[#This Row],[År]]&gt;Input_Tidshorisont,BlankTegn,
IF(AND(Tidstabel[[#This Row],[Emission_Netto]]-Tidstabel[[#This Row],[Vedligehold_EksisterendeFacade]]&gt;0,N50-L50&lt;0),-1,IF(AND(Tidstabel[[#This Row],[Emission_Netto]]-Tidstabel[[#This Row],[Vedligehold_EksisterendeFacade]]&lt;0,N50-L50&gt;0),1,0))),BlankTegn)</f>
        <v>.</v>
      </c>
      <c r="Q49" s="174" t="str">
        <f>IF(Tidstabel[[#This Row],[År]]&gt;Input_Tidshorisont,BlankTegn,
IF(Tidstabel[[#This Row],[LCA-Skæring]]=-1,SUM(Tidstabel[[#This Row],[År]]*(1-ABS(Tidstabel[[#This Row],[LCA-Difference]])/(ABS(Tidstabel[[#This Row],[LCA-Difference]])+ABS(O50))),A50*(1-ABS(O50)/(ABS(Tidstabel[[#This Row],[LCA-Difference]])+ABS(O50)))),"-"))</f>
        <v>-</v>
      </c>
      <c r="R49" s="174" t="str">
        <f>IF(Tidstabel[[#This Row],[År]]&gt;Input_Tidshorisont,BlankTegn,
IF(Tidstabel[[#This Row],[LCA-Skæring]]=-1,SUM(Tidstabel[[#This Row],[Emission_Netto]]*(1-ABS(Tidstabel[[#This Row],[LCA-Difference]])/(ABS(Tidstabel[[#This Row],[LCA-Difference]])+ABS(O50))),N50*(1-ABS(O50)/(ABS(Tidstabel[[#This Row],[LCA-Difference]])+ABS(O50)))),"-"))</f>
        <v>-</v>
      </c>
      <c r="S49" s="174" t="str">
        <f>IF(Tidstabel[[#This Row],[År]]&gt;Input_Tidshorisont,BlankTegn,
IF(Tidstabel[[#This Row],[LCA-Skæring]]=1,SUM(Tidstabel[[#This Row],[År]]*(1-ABS(Tidstabel[[#This Row],[LCA-Difference]])/(ABS(Tidstabel[[#This Row],[LCA-Difference]])+ABS(O50))),A50*(1-ABS(O50)/(ABS(Tidstabel[[#This Row],[LCA-Difference]])+ABS(O50)))),"-"))</f>
        <v>-</v>
      </c>
      <c r="T49" s="264" t="str">
        <f>IF(Tidstabel[[#This Row],[År]]&gt;Input_Tidshorisont,BlankTegn,
IF(Tidstabel[[#This Row],[LCA-Skæring]]=1,SUM(Tidstabel[[#This Row],[Emission_Netto]]*(1-ABS(Tidstabel[[#This Row],[LCA-Difference]])/(ABS(Tidstabel[[#This Row],[LCA-Difference]])+ABS(O50))),N50*(1-ABS(O50)/(ABS(Tidstabel[[#This Row],[LCA-Difference]])+ABS(O50)))),"-"))</f>
        <v>-</v>
      </c>
      <c r="U49" s="142" t="str">
        <f ca="1">IFERROR(IF(Tidstabel[[#This Row],[År]]&gt;Input_Tidshorisont,BlankTegn,
Tidstabel[[#This Row],[NPV_Klimafacade]]-Tidstabel[[#This Row],[NPV_Eksisterende]]),BlankTegn)</f>
        <v>.</v>
      </c>
      <c r="V49" s="271" t="str">
        <f ca="1">IFERROR(IF(Tidstabel[[#This Row],[År]]&gt;Input_Tidshorisont,BlankTegn,
IF(AND(Tidstabel[[#This Row],[NPV_Klimafacade]]-Tidstabel[[#This Row],[NPV_Eksisterende]]&gt;0,AB50-AA50&lt;0),1,IF(AND(Tidstabel[[#This Row],[NPV_Klimafacade]]-Tidstabel[[#This Row],[NPV_Eksisterende]]&lt;0,AB50-AA50&gt;0),-1,0))),BlankTegn)</f>
        <v>.</v>
      </c>
      <c r="W49" s="174" t="str">
        <f ca="1">IF(Tidstabel[[#This Row],[År]]&gt;Input_Tidshorisont,BlankTegn,
IF(Tidstabel[[#This Row],[LCC-Skæring]]=-1,SUM(Tidstabel[[#This Row],[År]]*(1-ABS(Tidstabel[[#This Row],[LCC-Difference]])/(ABS(Tidstabel[[#This Row],[LCC-Difference]])+ABS(U50))),A50*(1-ABS(U50)/(ABS(Tidstabel[[#This Row],[LCC-Difference]])+ABS(U50)))),"-"))</f>
        <v>-</v>
      </c>
      <c r="X49" s="174" t="str">
        <f ca="1">IF(Tidstabel[[#This Row],[År]]&gt;Input_Tidshorisont,BlankTegn,
IF(Tidstabel[[#This Row],[LCC-Skæring]]=-1,SUM(Tidstabel[[#This Row],[NPV_Klimafacade]]*(1-ABS(Tidstabel[[#This Row],[LCC-Difference]])/(ABS(Tidstabel[[#This Row],[LCC-Difference]])+ABS(U50))),AB50*(1-ABS(U50)/(ABS(Tidstabel[[#This Row],[LCC-Difference]])+ABS(U50)))),"-"))</f>
        <v>-</v>
      </c>
      <c r="Y49" s="174" t="str">
        <f ca="1">IF(Tidstabel[[#This Row],[År]]&gt;Input_Tidshorisont,BlankTegn,
IF(Tidstabel[[#This Row],[LCC-Skæring]]=1,SUM(Tidstabel[[#This Row],[År]]*(1-ABS(Tidstabel[[#This Row],[LCC-Difference]])/(ABS(Tidstabel[[#This Row],[LCC-Difference]])+ABS(U50))),A50*(1-ABS(U50)/(ABS(Tidstabel[[#This Row],[LCC-Difference]])+ABS(U50)))),"-"))</f>
        <v>-</v>
      </c>
      <c r="Z49" s="264" t="str">
        <f ca="1">IF(Tidstabel[[#This Row],[År]]&gt;Input_Tidshorisont,BlankTegn,
IF(Tidstabel[[#This Row],[LCC-Skæring]]=1,SUM(Tidstabel[[#This Row],[NPV_Klimafacade]]*(1-ABS(Tidstabel[[#This Row],[LCC-Difference]])/(ABS(Tidstabel[[#This Row],[LCC-Difference]])+ABS(U50))),AB50*(1-ABS(U50)/(ABS(Tidstabel[[#This Row],[LCC-Difference]])+ABS(U50)))),"-"))</f>
        <v>-</v>
      </c>
      <c r="AA49" s="142">
        <f ca="1">IF(Tidstabel[[#This Row],[År]]&gt;Input_Tidshorisont,BlankTegn,
Tidstabel[[#This Row],[EF_Vedligehold_Aggregeret]])</f>
        <v>-252.10993734050101</v>
      </c>
      <c r="AB49"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49" s="142" t="str">
        <f>IFERROR(IF(Tidstabel[[#This Row],[År]]&gt;Input_Tidshorisont,BlankTegn,
Tidstabel[[#This Row],[KF_Anskaffelse_Aggregeret]]+Tidstabel[[#This Row],[KF_Engangsudgifter_Aggregeret]]),BlankTegn)</f>
        <v>.</v>
      </c>
      <c r="AD49" s="174">
        <f ca="1">IFERROR(IF(Tidstabel[[#This Row],[År]]&gt;Input_Tidshorisont,BlankTegn,
IF(Tidstabel[[#This Row],[År]]=0,0,Tidstabel[[#This Row],[NPV_Eksisterende]]*(Tidstabel[[#This Row],[Kalkulationsrente]]/(1-(1+Tidstabel[[#This Row],[Kalkulationsrente]])^-Tidstabel[[#This Row],[År]])))),BlankTegn)</f>
        <v>-9.7639044267281019</v>
      </c>
      <c r="AE49" s="264" t="str">
        <f ca="1">IFERROR(IF(Tidstabel[[#This Row],[År]]&gt;Input_Tidshorisont,BlankTegn,
IF(Tidstabel[[#This Row],[År]]=0,0,Tidstabel[[#This Row],[NPV_Klimafacade]]*(Tidstabel[[#This Row],[Kalkulationsrente]]/(1-(1+Tidstabel[[#This Row],[Kalkulationsrente]])^-Tidstabel[[#This Row],[År]])))),BlankTegn)</f>
        <v>.</v>
      </c>
      <c r="AF49" s="270">
        <f ca="1">IF(Tidstabel[[#This Row],[År]]&gt;Input_Tidshorisont,BlankTegn,
IF(EF_Vedligehold_i=1,IF(Tidstabel[[#This Row],[EF_Uds?]]=0,1,0),IF(MAX(AF48:OFFSET(AG48,2-EF_Vedligehold_i,0),Tidstabel[[#This Row],[EF_Uds?]])=0,1,0)))</f>
        <v>1</v>
      </c>
      <c r="AG49" s="181">
        <f>IF(Tidstabel[[#This Row],[År]]&gt;Input_Tidshorisont,BlankTegn,0)</f>
        <v>0</v>
      </c>
      <c r="AH49" s="263">
        <f ca="1">IF(Tidstabel[[#This Row],[År]]&gt;Input_Tidshorisont,BlankTegn,
Tidstabel[[#This Row],[EF_Ved?]]*EF_Vedligehold_p*-EF_Enhedspris*((1+Tidstabel[[#This Row],[Kalkulationsrente]])^-Tidstabel[[#This Row],[År]])*((1+PrisudviklingGenerelt)^Tidstabel[[#This Row],[År]]))</f>
        <v>-3.7746549532543967</v>
      </c>
      <c r="AI49" s="262">
        <f ca="1">IF(Tidstabel[[#This Row],[År]]&gt;Input_Tidshorisont,BlankTegn,
IF(Tidstabel[[#This Row],[År]]=0,Tidstabel[[#This Row],[EF_Vedligehold]],AI48+Tidstabel[[#This Row],[EF_Vedligehold]]))</f>
        <v>-252.10993734050101</v>
      </c>
      <c r="AJ49" s="245">
        <f>IFERROR(IF(Tidstabel[[#This Row],[År]]&gt;Input_Tidshorisont,BlankTegn,
Tidstabel[[#This Row],[FB_Anskaffelse]]+Tidstabel[[#This Row],[VS_Anskaffelse]]+Tidstabel[[#This Row],[EI_Anskaffelse]]+Tidstabel[[#This Row],[AP_Anskaffelse]]+Tidstabel[[#This Row],[SK_Anskaffelse]]),BlankTegn)</f>
        <v>0</v>
      </c>
      <c r="AK49" s="245" t="str">
        <f>IFERROR(IF(Tidstabel[[#This Row],[År]]&gt;Input_Tidshorisont,BlankTegn,
IF(Tidstabel[[#This Row],[År]]=0,Tidstabel[[#This Row],[KF_Anskaffelse]],AK48+Tidstabel[[#This Row],[KF_Anskaffelse]])),BlankTegn)</f>
        <v>.</v>
      </c>
      <c r="AL49" s="246" t="str">
        <f ca="1">IFERROR(IF(Tidstabel[[#This Row],[År]]&gt;Input_Tidshorisont,BlankTegn,
Tidstabel[[#This Row],[FB_Vedligehold]]+Tidstabel[[#This Row],[VS_Vedligehold]]+Tidstabel[[#This Row],[EI_Vedligehold]]+Tidstabel[[#This Row],[AP_Vedligehold]]+Tidstabel[[#This Row],[SK_Vedligehold]]),BlankTegn)</f>
        <v>.</v>
      </c>
      <c r="AM49" s="245" t="str">
        <f ca="1">IFERROR(IF(Tidstabel[[#This Row],[År]]&gt;Input_Tidshorisont,BlankTegn,
IF(Tidstabel[[#This Row],[År]]=0,Tidstabel[[#This Row],[KF_Vedligehold]],AM48+Tidstabel[[#This Row],[KF_Vedligehold]])),BlankTegn)</f>
        <v>.</v>
      </c>
      <c r="AN49"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49"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49" s="245" t="str">
        <f>IFERROR(IF(Tidstabel[[#This Row],[År]]&gt;Input_Tidshorisont,BlankTegn,
IF(Tidstabel[[#This Row],[År]]=0,Tidstabel[[#This Row],[KF_Udskiftning_Komponent]],AP48+Tidstabel[[#This Row],[KF_Udskiftning_Komponent]])),BlankTegn)</f>
        <v>.</v>
      </c>
      <c r="AQ49" s="245">
        <f>IF(Tidstabel[[#This Row],[År]]&gt;Input_Tidshorisont,BlankTegn,
IF(Tidstabel[[#This Row],[År]]=0,-SUM(Engangsudgifter[Udgift]),0))</f>
        <v>0</v>
      </c>
      <c r="AR49" s="245">
        <f>IFERROR(IF(Tidstabel[[#This Row],[År]]&gt;Input_Tidshorisont,BlankTegn,
IF(Tidstabel[[#This Row],[År]]=0,Tidstabel[[#This Row],[KF_Engangsudgifter]],AR48+Tidstabel[[#This Row],[KF_Engangsudgifter]])),BlankTegn)</f>
        <v>0</v>
      </c>
      <c r="AS49" s="315" t="str">
        <f>IFERROR(IF(Tidstabel[[#This Row],[År]]&gt;Input_Tidshorisont,BlankTegn,
-Energibesparelse_Årlig),BlankTegn)</f>
        <v>.</v>
      </c>
      <c r="AT49" s="245" t="str">
        <f>IFERROR(IF(Tidstabel[[#This Row],[År]]&gt;Input_Tidshorisont,BlankTegn,
IF(Tidstabel[[#This Row],[År]]=0,0,-Tidstabel[[#This Row],[KF_Energiforbrug]]*Input_Fjernvarmepris*((1+Tidstabel[[#This Row],[Kalkulationsrente]])^-Tidstabel[[#This Row],[År]])*((1+PrisudviklingFjernvarme)^Tidstabel[[#This Row],[År]]))),BlankTegn)</f>
        <v>.</v>
      </c>
      <c r="AU49" s="262" t="str">
        <f>IFERROR(IF(Tidstabel[[#This Row],[År]]&gt;Input_Tidshorisont,BlankTegn,
IF(Tidstabel[[#This Row],[År]]=0,Tidstabel[[#This Row],[KF_Forsyning]],AU48+Tidstabel[[#This Row],[KF_Forsyning]])),BlankTegn)</f>
        <v>.</v>
      </c>
      <c r="AV49" s="245">
        <f>IFERROR(IF(Tidstabel[[#This Row],[År]]&gt;Input_Tidshorisont,BlankTegn,
IF(Tidstabel[[#This Row],[År]]=0,-FB_Enhedspris,0)),BlankTegn)</f>
        <v>0</v>
      </c>
      <c r="AW49" s="245" t="str">
        <f>IFERROR(IF(Tidstabel[[#This Row],[År]]&gt;Input_Tidshorisont,BlankTegn,
IF(Tidstabel[[#This Row],[År]]=0,FB_Enhedspris/FB_Levetid,AW48*((1+Tidstabel[[#This Row],[Kalkulationsrente]])^-1)*((1+PrisudviklingGenerelt)^1))),BlankTegn)</f>
        <v>.</v>
      </c>
      <c r="AX49" s="178" t="str">
        <f ca="1">IFERROR(IF(Tidstabel[[#This Row],[År]]&gt;Input_Tidshorisont,BlankTegn,
IF(FB_Vedligehold_i=1,IF(Tidstabel[[#This Row],[FB_Uds?]]=0,1,0),IF(MAX(AX48:OFFSET(AY48,2-FB_Vedligehold_i,0),Tidstabel[[#This Row],[FB_Uds?]])=0,1,0))),BlankTegn)</f>
        <v>.</v>
      </c>
      <c r="AY49" s="178" t="str">
        <f>IFERROR(IF(Tidstabel[[#This Row],[År]]&gt;Input_Tidshorisont,BlankTegn,
IF(Tidstabel[[#This Row],[År]]=0,1,IF(MOD(Tidstabel[[#This Row],[År]],FB_Levetid)=0,1,IF(Tidstabel[[#This Row],[År]]=Input_Tidshorisont,0,0)))),BlankTegn)</f>
        <v>.</v>
      </c>
      <c r="AZ49" s="245" t="str">
        <f ca="1">IFERROR(IF(Tidstabel[[#This Row],[År]]&gt;Input_Tidshorisont,BlankTegn,
FB_Vedligehold_p*-FB_Enhedspris*Tidstabel[[#This Row],[FB_Ved?]]*((1+Tidstabel[[#This Row],[Kalkulationsrente]])^-Tidstabel[[#This Row],[År]])*((1+PrisudviklingGenerelt)^Tidstabel[[#This Row],[År]])),BlankTegn)</f>
        <v>.</v>
      </c>
      <c r="BA49" s="245" t="str">
        <f>IFERROR(IF(Tidstabel[[#This Row],[År]]&gt;Input_Tidshorisont,BlankTegn,
IF(Tidstabel[[#This Row],[År]]=0,FB_Enhedspris,SUM(BA48:BB48)*((1+Tidstabel[[#This Row],[Kalkulationsrente]])^-1)*((1+PrisudviklingGenerelt)^1)-Tidstabel[[#This Row],[FB_Afskrivning]])),BlankTegn)</f>
        <v>.</v>
      </c>
      <c r="BB49" s="245" t="str">
        <f>IFERROR(IF(Tidstabel[[#This Row],[År]]&gt;Input_Tidshorisont,BlankTegn,
IF(Tidstabel[[#This Row],[År]]=0,0,Tidstabel[[#This Row],[FB_Uds?]]*FB_Enhedspris*((1+Tidstabel[[#This Row],[Kalkulationsrente]])^-Tidstabel[[#This Row],[År]])*((1+PrisudviklingGenerelt)^Tidstabel[[#This Row],[År]]))),BlankTegn)</f>
        <v>.</v>
      </c>
      <c r="BC49" s="262" t="str">
        <f>IFERROR(IF(Tidstabel[[#This Row],[År]]&gt;Input_Tidshorisont,BlankTegn,
IF(Tidstabel[[#This Row],[År]]=0,0,Tidstabel[[#This Row],[FB_Uds?]]*-FB_Enhedspris*FB_Genoprettelse*((1+Tidstabel[[#This Row],[Kalkulationsrente]])^-Tidstabel[[#This Row],[År]])*((1+PrisudviklingGenerelt)^Tidstabel[[#This Row],[År]]))),BlankTegn)</f>
        <v>.</v>
      </c>
      <c r="BD49" s="245">
        <f>IFERROR(IF(Tidstabel[[#This Row],[År]]&gt;Input_Tidshorisont,BlankTegn,
IF(Tidstabel[[#This Row],[År]]=0,-VS_Enhedspris,0)),BlankTegn)</f>
        <v>0</v>
      </c>
      <c r="BE49" s="245" t="str">
        <f>IFERROR(IF(Tidstabel[[#This Row],[År]]&gt;Input_Tidshorisont,BlankTegn,
IF(Tidstabel[[#This Row],[År]]=0,VS_Enhedspris/VS_Levetid,BE48*((1+Tidstabel[[#This Row],[Kalkulationsrente]])^-1)*((1+PrisudviklingGenerelt)^1))),BlankTegn)</f>
        <v>.</v>
      </c>
      <c r="BF49" s="178" t="str">
        <f ca="1">IFERROR(IF(Tidstabel[[#This Row],[År]]&gt;Input_Tidshorisont,BlankTegn,
IF(VS_Vedligehold_i=1,IF(Tidstabel[[#This Row],[VS_Uds?]]=0,1,0),IF(MAX(BF48:OFFSET(BG48,2-VS_Vedligehold_i,0),Tidstabel[[#This Row],[VS_Uds?]])=0,1,0))),BlankTegn)</f>
        <v>.</v>
      </c>
      <c r="BG49" s="178" t="str">
        <f>IFERROR(IF(Tidstabel[[#This Row],[År]]&gt;Input_Tidshorisont,BlankTegn,
IF(Tidstabel[[#This Row],[År]]=0,1,IF(MOD(Tidstabel[[#This Row],[År]],VS_Levetid)=0,1,IF(Tidstabel[[#This Row],[År]]=Input_Tidshorisont,0,0)))),BlankTegn)</f>
        <v>.</v>
      </c>
      <c r="BH49" s="245" t="str">
        <f ca="1">IFERROR(IF(Tidstabel[[#This Row],[År]]&gt;Input_Tidshorisont,BlankTegn,
VS_Vedligehold_p*-VS_Enhedspris*Tidstabel[[#This Row],[VS_Ved?]]*((1+Tidstabel[[#This Row],[Kalkulationsrente]])^-Tidstabel[[#This Row],[År]])*((1+PrisudviklingGenerelt)^Tidstabel[[#This Row],[År]])),BlankTegn)</f>
        <v>.</v>
      </c>
      <c r="BI49" s="245" t="str">
        <f>IFERROR(IF(Tidstabel[[#This Row],[År]]&gt;Input_Tidshorisont,BlankTegn,
IF(Tidstabel[[#This Row],[År]]=0,VS_Enhedspris,SUM(BI48:BJ48)*((1+Tidstabel[[#This Row],[Kalkulationsrente]])^-1)*((1+PrisudviklingGenerelt)^1)-Tidstabel[[#This Row],[VS_Afskrivning]])),BlankTegn)</f>
        <v>.</v>
      </c>
      <c r="BJ49" s="245" t="str">
        <f>IFERROR(IF(Tidstabel[[#This Row],[År]]&gt;Input_Tidshorisont,BlankTegn,
IF(Tidstabel[[#This Row],[År]]=0,0,Tidstabel[[#This Row],[VS_Uds?]]*VS_Enhedspris*((1+Tidstabel[[#This Row],[Kalkulationsrente]])^-Tidstabel[[#This Row],[År]])*((1+PrisudviklingGenerelt)^Tidstabel[[#This Row],[År]]))),BlankTegn)</f>
        <v>.</v>
      </c>
      <c r="BK49" s="262" t="str">
        <f>IFERROR(IF(Tidstabel[[#This Row],[År]]&gt;Input_Tidshorisont,BlankTegn,
IF(Tidstabel[[#This Row],[År]]=0,0,Tidstabel[[#This Row],[VS_Uds?]]*-VS_Enhedspris*VS_Genoprettelse*((1+Tidstabel[[#This Row],[Kalkulationsrente]])^-Tidstabel[[#This Row],[År]])*((1+PrisudviklingGenerelt)^Tidstabel[[#This Row],[År]]))),BlankTegn)</f>
        <v>.</v>
      </c>
      <c r="BL49" s="245">
        <f>IFERROR(IF(Tidstabel[[#This Row],[År]]&gt;Input_Tidshorisont,BlankTegn,
IF(Tidstabel[[#This Row],[År]]=0,-EI_Enhedspris,0)),BlankTegn)</f>
        <v>0</v>
      </c>
      <c r="BM49" s="245" t="str">
        <f>IFERROR(IF(Tidstabel[[#This Row],[År]]&gt;Input_Tidshorisont,BlankTegn,
IF(Tidstabel[[#This Row],[År]]=0,EI_Enhedspris/EI_Levetid,BM48*((1+Tidstabel[[#This Row],[Kalkulationsrente]])^-1)*((1+PrisudviklingGenerelt)^1))),BlankTegn)</f>
        <v>.</v>
      </c>
      <c r="BN49" s="178" t="str">
        <f ca="1">IFERROR(IF(Tidstabel[[#This Row],[År]]&gt;Input_Tidshorisont,BlankTegn,
IF(EI_Vedligehold_i=1,IF(Tidstabel[[#This Row],[EI_Uds?]]=0,1,0),IF(MAX(BN48:OFFSET(BO48,2-EI_Vedligehold_i,0),Tidstabel[[#This Row],[EI_Uds?]])=0,1,0))),BlankTegn)</f>
        <v>.</v>
      </c>
      <c r="BO49" s="178" t="str">
        <f>IFERROR(IF(Tidstabel[[#This Row],[År]]&gt;Input_Tidshorisont,BlankTegn,
IF(Tidstabel[[#This Row],[År]]=0,1,IF(MOD(Tidstabel[[#This Row],[År]],EI_Levetid)=0,1,IF(Tidstabel[[#This Row],[År]]=Input_Tidshorisont,0,0)))),BlankTegn)</f>
        <v>.</v>
      </c>
      <c r="BP49" s="245" t="str">
        <f ca="1">IFERROR(IF(Tidstabel[[#This Row],[År]]&gt;Input_Tidshorisont,BlankTegn,
EI_Vedligehold_p*-EI_Enhedspris*Tidstabel[[#This Row],[EI_Ved?]]*((1+Tidstabel[[#This Row],[Kalkulationsrente]])^-Tidstabel[[#This Row],[År]])*((1+PrisudviklingGenerelt)^Tidstabel[[#This Row],[År]])),BlankTegn)</f>
        <v>.</v>
      </c>
      <c r="BQ49" s="245" t="str">
        <f>IFERROR(IF(Tidstabel[[#This Row],[År]]&gt;Input_Tidshorisont,BlankTegn,
IF(Tidstabel[[#This Row],[År]]=0,EI_Enhedspris,SUM(BQ48:BR48)*((1+Tidstabel[[#This Row],[Kalkulationsrente]])^-1)*((1+PrisudviklingGenerelt)^1)-Tidstabel[[#This Row],[EI_Afskrivning]])),BlankTegn)</f>
        <v>.</v>
      </c>
      <c r="BR49" s="245" t="str">
        <f>IFERROR(IF(Tidstabel[[#This Row],[År]]&gt;Input_Tidshorisont,BlankTegn,
IF(Tidstabel[[#This Row],[År]]=0,0,Tidstabel[[#This Row],[EI_Uds?]]*EI_Enhedspris*((1+Tidstabel[[#This Row],[Kalkulationsrente]])^-Tidstabel[[#This Row],[År]])*((1+PrisudviklingGenerelt)^Tidstabel[[#This Row],[År]]))),BlankTegn)</f>
        <v>.</v>
      </c>
      <c r="BS49" s="262" t="str">
        <f>IFERROR(IF(Tidstabel[[#This Row],[År]]&gt;Input_Tidshorisont,BlankTegn,
IF(Tidstabel[[#This Row],[År]]=0,0,Tidstabel[[#This Row],[EI_Uds?]]*-EI_Enhedspris*EI_Genoprettelse*((1+Tidstabel[[#This Row],[Kalkulationsrente]])^-Tidstabel[[#This Row],[År]])*((1+PrisudviklingGenerelt)^Tidstabel[[#This Row],[År]]))),BlankTegn)</f>
        <v>.</v>
      </c>
      <c r="BT49" s="245">
        <f>IFERROR(IF(Tidstabel[[#This Row],[År]]&gt;Input_Tidshorisont,BlankTegn,
IF(Tidstabel[[#This Row],[År]]=0,-AP_Enhedspris,0)),BlankTegn)</f>
        <v>0</v>
      </c>
      <c r="BU49" s="245" t="str">
        <f>IFERROR(IF(Tidstabel[[#This Row],[År]]&gt;Input_Tidshorisont,BlankTegn,
IF(Tidstabel[[#This Row],[År]]=0,AP_Enhedspris/AP_Levetid,BU48*((1+Tidstabel[[#This Row],[Kalkulationsrente]])^-1)*((1+PrisudviklingGenerelt)^1))),BlankTegn)</f>
        <v>.</v>
      </c>
      <c r="BV49" s="178" t="str">
        <f ca="1">IFERROR(IF(Tidstabel[[#This Row],[År]]&gt;Input_Tidshorisont,BlankTegn,
IF(AP_Vedligehold_i=1,IF(Tidstabel[[#This Row],[AP_Uds?]]=0,1,0),IF(MAX(BV48:OFFSET(BW48,2-AP_Vedligehold_i,0),Tidstabel[[#This Row],[AP_Uds?]])=0,1,0))),BlankTegn)</f>
        <v>.</v>
      </c>
      <c r="BW49" s="178" t="str">
        <f>IFERROR(IF(Tidstabel[[#This Row],[År]]&gt;Input_Tidshorisont,BlankTegn,
IF(Tidstabel[[#This Row],[År]]=0,1,IF(MOD(Tidstabel[[#This Row],[År]],AP_Levetid)=0,1,IF(Tidstabel[[#This Row],[År]]=Input_Tidshorisont,0,0)))),BlankTegn)</f>
        <v>.</v>
      </c>
      <c r="BX49" s="245" t="str">
        <f ca="1">IFERROR(IF(Tidstabel[[#This Row],[År]]&gt;Input_Tidshorisont,BlankTegn,
AP_Vedligehold_p*-AP_Enhedspris*Tidstabel[[#This Row],[AP_Ved?]]*((1+Tidstabel[[#This Row],[Kalkulationsrente]])^-Tidstabel[[#This Row],[År]])*((1+PrisudviklingGenerelt)^Tidstabel[[#This Row],[År]])),BlankTegn)</f>
        <v>.</v>
      </c>
      <c r="BY49" s="245" t="str">
        <f>IFERROR(IF(Tidstabel[[#This Row],[År]]&gt;Input_Tidshorisont,BlankTegn,
IF(Tidstabel[[#This Row],[År]]=0,AP_Enhedspris,SUM(BY48:BZ48)*((1+Tidstabel[[#This Row],[Kalkulationsrente]])^-1)*((1+PrisudviklingGenerelt)^1)-Tidstabel[[#This Row],[AP_Afskrivning]])),BlankTegn)</f>
        <v>.</v>
      </c>
      <c r="BZ49" s="245" t="str">
        <f>IFERROR(IF(Tidstabel[[#This Row],[År]]&gt;Input_Tidshorisont,BlankTegn,
IF(Tidstabel[[#This Row],[År]]=0,0,Tidstabel[[#This Row],[AP_Uds?]]*AP_Enhedspris*((1+Tidstabel[[#This Row],[Kalkulationsrente]])^-Tidstabel[[#This Row],[År]])*((1+PrisudviklingGenerelt)^Tidstabel[[#This Row],[År]]))),BlankTegn)</f>
        <v>.</v>
      </c>
      <c r="CA49" s="262" t="str">
        <f>IFERROR(IF(Tidstabel[[#This Row],[År]]&gt;Input_Tidshorisont,BlankTegn,
IF(Tidstabel[[#This Row],[År]]=0,0,Tidstabel[[#This Row],[AP_Uds?]]*-AP_Enhedspris*AP_Genoprettelse*((1+Tidstabel[[#This Row],[Kalkulationsrente]])^-Tidstabel[[#This Row],[År]])*((1+PrisudviklingGenerelt)^Tidstabel[[#This Row],[År]]))),BlankTegn)</f>
        <v>.</v>
      </c>
      <c r="CB49" s="245">
        <f>IFERROR(IF(Tidstabel[[#This Row],[År]]&gt;Input_Tidshorisont,BlankTegn,
IF(Tidstabel[[#This Row],[År]]=0,-SK_Enhedspris,0)),BlankTegn)</f>
        <v>0</v>
      </c>
      <c r="CC49" s="245" t="str">
        <f>IFERROR(IF(Tidstabel[[#This Row],[År]]&gt;Input_Tidshorisont,BlankTegn,
IF(Tidstabel[[#This Row],[År]]=0,SK_Enhedspris/SK_Levetid,CC48*((1+Tidstabel[[#This Row],[Kalkulationsrente]])^-1)*((1+PrisudviklingGenerelt)^1))),BlankTegn)</f>
        <v>.</v>
      </c>
      <c r="CD49" s="178" t="str">
        <f ca="1">IFERROR(IF(Tidstabel[[#This Row],[År]]&gt;Input_Tidshorisont,BlankTegn,
IF(SK_Vedligehold_i=1,IF(Tidstabel[[#This Row],[SK_Uds?]]=0,1,0),IF(MAX(CD48:OFFSET(CE48,2-SK_Vedligehold_i,0),Tidstabel[[#This Row],[SK_Uds?]])=0,1,0))),BlankTegn)</f>
        <v>.</v>
      </c>
      <c r="CE49" s="178" t="str">
        <f>IFERROR(IF(Tidstabel[[#This Row],[År]]&gt;Input_Tidshorisont,BlankTegn,
IF(Tidstabel[[#This Row],[År]]=0,1,IF(MOD(Tidstabel[[#This Row],[År]],SK_Levetid)=0,1,IF(Tidstabel[[#This Row],[År]]=Input_Tidshorisont,0,0)))),BlankTegn)</f>
        <v>.</v>
      </c>
      <c r="CF49" s="245" t="str">
        <f ca="1">IFERROR(IF(Tidstabel[[#This Row],[År]]&gt;Input_Tidshorisont,BlankTegn,
SK_Vedligehold_p*-SK_Enhedspris*Tidstabel[[#This Row],[SK_Ved?]]*((1+Tidstabel[[#This Row],[Kalkulationsrente]])^-Tidstabel[[#This Row],[År]])*((1+PrisudviklingGenerelt)^Tidstabel[[#This Row],[År]])),BlankTegn)</f>
        <v>.</v>
      </c>
      <c r="CG49" s="245" t="str">
        <f>IFERROR(IF(Tidstabel[[#This Row],[År]]&gt;Input_Tidshorisont,BlankTegn,
IF(Tidstabel[[#This Row],[År]]=0,SK_Enhedspris,SUM(CG48:CH48)*((1+Tidstabel[[#This Row],[Kalkulationsrente]])^-1)*((1+PrisudviklingGenerelt)^1)-Tidstabel[[#This Row],[SK_Afskrivning]])),BlankTegn)</f>
        <v>.</v>
      </c>
      <c r="CH49" s="245" t="str">
        <f>IFERROR(IF(Tidstabel[[#This Row],[År]]&gt;Input_Tidshorisont,BlankTegn,
IF(Tidstabel[[#This Row],[År]]=0,0,Tidstabel[[#This Row],[SK_Uds?]]*SK_Enhedspris*((1+Tidstabel[[#This Row],[Kalkulationsrente]])^-Tidstabel[[#This Row],[År]])*((1+PrisudviklingGenerelt)^Tidstabel[[#This Row],[År]]))),BlankTegn)</f>
        <v>.</v>
      </c>
      <c r="CI49" s="262" t="str">
        <f>IFERROR(IF(Tidstabel[[#This Row],[År]]&gt;Input_Tidshorisont,BlankTegn,
IF(Tidstabel[[#This Row],[År]]=0,0,Tidstabel[[#This Row],[SK_Uds?]]*-SK_Enhedspris*SK_Genoprettelse*((1+Tidstabel[[#This Row],[Kalkulationsrente]])^-Tidstabel[[#This Row],[År]])*((1+PrisudviklingGenerelt)^Tidstabel[[#This Row],[År]]))),BlankTegn)</f>
        <v>.</v>
      </c>
      <c r="CJ49" s="19"/>
    </row>
    <row r="50" spans="1:88">
      <c r="A50" s="250">
        <v>43</v>
      </c>
      <c r="B50" s="250">
        <f>Input_Etableringsår+Tidstabel[[#This Row],[År]]</f>
        <v>2067</v>
      </c>
      <c r="C50" s="274" cm="1">
        <f t="array" ref="C50">_xlfn.IFS(Tidstabel[[#This Row],[År]]&gt;KR_Trin3_Tærskel,KR_Trin3_Rente,Tidstabel[[#This Row],[År]]&gt;KR_Trin2_Tærskel,KR_Trin2_Rente,Tidstabel[[#This Row],[År]]&gt;KR_Trin1_Tærskel,KR_Trin1_Rente,Tidstabel[[#This Row],[År]]&gt;KR_Trin0_Tærskel,KR_Trin0_Rente)</f>
        <v>2.5000000000000001E-2</v>
      </c>
      <c r="D50" s="142" t="str" cm="1">
        <f t="array" ref="D50">IFERROR(
INDEX(Range_Materiale_ÅrligeEmissioner,MATCH(1,(Materialedata[Komponent]=FB_Titel)*(Materialedata[Materiale]=FB_Materiale),0),MATCH(Tidstabel[[#This Row],[År]],Range_Materiale_År,0)),BlankTegn)</f>
        <v>.</v>
      </c>
      <c r="E50" s="142" t="str" cm="1">
        <f t="array" ref="E50">IFERROR(
INDEX(Range_Materiale_ÅrligeEmissioner,MATCH(1,(Materialedata[Komponent]=SK_Titel)*(Materialedata[Materiale]=SK_Materiale),0),MATCH(Tidstabel[[#This Row],[År]],Range_Materiale_År,0)),BlankTegn)</f>
        <v>.</v>
      </c>
      <c r="F50" s="142" t="str" cm="1">
        <f t="array" ref="F50">IFERROR(
INDEX(Range_Materiale_ÅrligeEmissioner,MATCH(1,(Materialedata[Komponent]=EI_Titel)*(Materialedata[Materiale]=EI_Materiale),0),MATCH(Tidstabel[[#This Row],[År]],Range_Materiale_År,0)),BlankTegn)</f>
        <v>.</v>
      </c>
      <c r="G50" s="142" t="str" cm="1">
        <f t="array" ref="G50">IFERROR(
INDEX(Range_Materiale_ÅrligeEmissioner,MATCH(1,(Materialedata[Komponent]=AP_Titel)*(Materialedata[Materiale]=AP_Materiale),0),MATCH(Tidstabel[[#This Row],[År]],Range_Materiale_År,0)),BlankTegn)</f>
        <v>.</v>
      </c>
      <c r="H50" s="142" t="str" cm="1">
        <f t="array" ref="H50">IFERROR(
INDEX(Range_Materiale_ÅrligeEmissioner,MATCH(1,(Materialedata[Komponent]=VS_Titel)*(Materialedata[Materiale]=VS_Materiale),0),MATCH(Tidstabel[[#This Row],[År]],Range_Materiale_År,0)),BlankTegn)</f>
        <v>.</v>
      </c>
      <c r="I50" s="142" t="str">
        <f>IFERROR(
IF(SUM(Tidstabel[[#This Row],[Facadebeklædning]:[Vindspærre]])=0,BlankTegn,
SUM(Tidstabel[[#This Row],[Facadebeklædning]:[Vindspærre]])),BlankTegn)</f>
        <v>.</v>
      </c>
      <c r="J50" s="139">
        <f>IF(Tidstabel[[#This Row],[År]]&gt;Input_Tidshorisont,BlankTegn,
A5_ElVarmeBrændstofByggeplads)</f>
        <v>0.25</v>
      </c>
      <c r="K50" s="142" t="str">
        <f>IFERROR(IF(Tidstabel[[#This Row],[År]]&gt;Input_Tidshorisont,BlankTegn,
-1*INDEX(Range_Energi_ÅrligBesparelse,MATCH(Input_EksisterendeFacade,Energiberegning[Ydervæg],0),MATCH(Tidstabel[[#This Row],[Årstal]],Range_Energi_Årstal,0))),BlankTegn)</f>
        <v>.</v>
      </c>
      <c r="L50" s="142">
        <f>IF(Tidstabel[[#This Row],[År]]&gt;Input_Tidshorisont,BlankTegn,
(Tidstabel[[#This Row],[År]]+1)*(SUM(Vedligeholdelsesmaterialer[Facadefarve],Vedligeholdelsesmaterialer[Grunder og mellemmaling])/12+SUM(Vedligeholdelsesmaterialer[Puds])/30))</f>
        <v>14.293588576666666</v>
      </c>
      <c r="M50" s="142" t="str">
        <f>IFERROR(IF(Tidstabel[[#This Row],[År]]&gt;Input_Tidshorisont,BlankTegn,
Tidstabel[[#This Row],[Materialer_Total]]+Tidstabel[[#This Row],[Byggeprocess]]),BlankTegn)</f>
        <v>.</v>
      </c>
      <c r="N50" s="142" t="str">
        <f>IFERROR(IF(Tidstabel[[#This Row],[År]]&gt;Input_Tidshorisont,BlankTegn,
Tidstabel[[#This Row],[Energibesparelse]]+Tidstabel[[#This Row],[Emission_Brutto]]),BlankTegn)</f>
        <v>.</v>
      </c>
      <c r="O50" s="142" t="str">
        <f>IFERROR(IF(Tidstabel[[#This Row],[År]]&gt;Input_Tidshorisont,BlankTegn,
Tidstabel[[#This Row],[Emission_Netto]]-Tidstabel[[#This Row],[Vedligehold_EksisterendeFacade]]),BlankTegn)</f>
        <v>.</v>
      </c>
      <c r="P50" s="271" t="str">
        <f>IFERROR(IF(Tidstabel[[#This Row],[År]]&gt;Input_Tidshorisont,BlankTegn,
IF(AND(Tidstabel[[#This Row],[Emission_Netto]]-Tidstabel[[#This Row],[Vedligehold_EksisterendeFacade]]&gt;0,N51-L51&lt;0),-1,IF(AND(Tidstabel[[#This Row],[Emission_Netto]]-Tidstabel[[#This Row],[Vedligehold_EksisterendeFacade]]&lt;0,N51-L51&gt;0),1,0))),BlankTegn)</f>
        <v>.</v>
      </c>
      <c r="Q50" s="174" t="str">
        <f>IF(Tidstabel[[#This Row],[År]]&gt;Input_Tidshorisont,BlankTegn,
IF(Tidstabel[[#This Row],[LCA-Skæring]]=-1,SUM(Tidstabel[[#This Row],[År]]*(1-ABS(Tidstabel[[#This Row],[LCA-Difference]])/(ABS(Tidstabel[[#This Row],[LCA-Difference]])+ABS(O51))),A51*(1-ABS(O51)/(ABS(Tidstabel[[#This Row],[LCA-Difference]])+ABS(O51)))),"-"))</f>
        <v>-</v>
      </c>
      <c r="R50" s="174" t="str">
        <f>IF(Tidstabel[[#This Row],[År]]&gt;Input_Tidshorisont,BlankTegn,
IF(Tidstabel[[#This Row],[LCA-Skæring]]=-1,SUM(Tidstabel[[#This Row],[Emission_Netto]]*(1-ABS(Tidstabel[[#This Row],[LCA-Difference]])/(ABS(Tidstabel[[#This Row],[LCA-Difference]])+ABS(O51))),N51*(1-ABS(O51)/(ABS(Tidstabel[[#This Row],[LCA-Difference]])+ABS(O51)))),"-"))</f>
        <v>-</v>
      </c>
      <c r="S50" s="174" t="str">
        <f>IF(Tidstabel[[#This Row],[År]]&gt;Input_Tidshorisont,BlankTegn,
IF(Tidstabel[[#This Row],[LCA-Skæring]]=1,SUM(Tidstabel[[#This Row],[År]]*(1-ABS(Tidstabel[[#This Row],[LCA-Difference]])/(ABS(Tidstabel[[#This Row],[LCA-Difference]])+ABS(O51))),A51*(1-ABS(O51)/(ABS(Tidstabel[[#This Row],[LCA-Difference]])+ABS(O51)))),"-"))</f>
        <v>-</v>
      </c>
      <c r="T50" s="264" t="str">
        <f>IF(Tidstabel[[#This Row],[År]]&gt;Input_Tidshorisont,BlankTegn,
IF(Tidstabel[[#This Row],[LCA-Skæring]]=1,SUM(Tidstabel[[#This Row],[Emission_Netto]]*(1-ABS(Tidstabel[[#This Row],[LCA-Difference]])/(ABS(Tidstabel[[#This Row],[LCA-Difference]])+ABS(O51))),N51*(1-ABS(O51)/(ABS(Tidstabel[[#This Row],[LCA-Difference]])+ABS(O51)))),"-"))</f>
        <v>-</v>
      </c>
      <c r="U50" s="142" t="str">
        <f ca="1">IFERROR(IF(Tidstabel[[#This Row],[År]]&gt;Input_Tidshorisont,BlankTegn,
Tidstabel[[#This Row],[NPV_Klimafacade]]-Tidstabel[[#This Row],[NPV_Eksisterende]]),BlankTegn)</f>
        <v>.</v>
      </c>
      <c r="V50" s="271" t="str">
        <f ca="1">IFERROR(IF(Tidstabel[[#This Row],[År]]&gt;Input_Tidshorisont,BlankTegn,
IF(AND(Tidstabel[[#This Row],[NPV_Klimafacade]]-Tidstabel[[#This Row],[NPV_Eksisterende]]&gt;0,AB51-AA51&lt;0),1,IF(AND(Tidstabel[[#This Row],[NPV_Klimafacade]]-Tidstabel[[#This Row],[NPV_Eksisterende]]&lt;0,AB51-AA51&gt;0),-1,0))),BlankTegn)</f>
        <v>.</v>
      </c>
      <c r="W50" s="174" t="str">
        <f ca="1">IF(Tidstabel[[#This Row],[År]]&gt;Input_Tidshorisont,BlankTegn,
IF(Tidstabel[[#This Row],[LCC-Skæring]]=-1,SUM(Tidstabel[[#This Row],[År]]*(1-ABS(Tidstabel[[#This Row],[LCC-Difference]])/(ABS(Tidstabel[[#This Row],[LCC-Difference]])+ABS(U51))),A51*(1-ABS(U51)/(ABS(Tidstabel[[#This Row],[LCC-Difference]])+ABS(U51)))),"-"))</f>
        <v>-</v>
      </c>
      <c r="X50" s="174" t="str">
        <f ca="1">IF(Tidstabel[[#This Row],[År]]&gt;Input_Tidshorisont,BlankTegn,
IF(Tidstabel[[#This Row],[LCC-Skæring]]=-1,SUM(Tidstabel[[#This Row],[NPV_Klimafacade]]*(1-ABS(Tidstabel[[#This Row],[LCC-Difference]])/(ABS(Tidstabel[[#This Row],[LCC-Difference]])+ABS(U51))),AB51*(1-ABS(U51)/(ABS(Tidstabel[[#This Row],[LCC-Difference]])+ABS(U51)))),"-"))</f>
        <v>-</v>
      </c>
      <c r="Y50" s="174" t="str">
        <f ca="1">IF(Tidstabel[[#This Row],[År]]&gt;Input_Tidshorisont,BlankTegn,
IF(Tidstabel[[#This Row],[LCC-Skæring]]=1,SUM(Tidstabel[[#This Row],[År]]*(1-ABS(Tidstabel[[#This Row],[LCC-Difference]])/(ABS(Tidstabel[[#This Row],[LCC-Difference]])+ABS(U51))),A51*(1-ABS(U51)/(ABS(Tidstabel[[#This Row],[LCC-Difference]])+ABS(U51)))),"-"))</f>
        <v>-</v>
      </c>
      <c r="Z50" s="264" t="str">
        <f ca="1">IF(Tidstabel[[#This Row],[År]]&gt;Input_Tidshorisont,BlankTegn,
IF(Tidstabel[[#This Row],[LCC-Skæring]]=1,SUM(Tidstabel[[#This Row],[NPV_Klimafacade]]*(1-ABS(Tidstabel[[#This Row],[LCC-Difference]])/(ABS(Tidstabel[[#This Row],[LCC-Difference]])+ABS(U51))),AB51*(1-ABS(U51)/(ABS(Tidstabel[[#This Row],[LCC-Difference]])+ABS(U51)))),"-"))</f>
        <v>-</v>
      </c>
      <c r="AA50" s="142">
        <f ca="1">IF(Tidstabel[[#This Row],[År]]&gt;Input_Tidshorisont,BlankTegn,
Tidstabel[[#This Row],[EF_Vedligehold_Aggregeret]])</f>
        <v>-255.79252753879797</v>
      </c>
      <c r="AB50"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50" s="142" t="str">
        <f>IFERROR(IF(Tidstabel[[#This Row],[År]]&gt;Input_Tidshorisont,BlankTegn,
Tidstabel[[#This Row],[KF_Anskaffelse_Aggregeret]]+Tidstabel[[#This Row],[KF_Engangsudgifter_Aggregeret]]),BlankTegn)</f>
        <v>.</v>
      </c>
      <c r="AD50" s="174">
        <f ca="1">IFERROR(IF(Tidstabel[[#This Row],[År]]&gt;Input_Tidshorisont,BlankTegn,
IF(Tidstabel[[#This Row],[År]]=0,0,Tidstabel[[#This Row],[NPV_Eksisterende]]*(Tidstabel[[#This Row],[Kalkulationsrente]]/(1-(1+Tidstabel[[#This Row],[Kalkulationsrente]])^-Tidstabel[[#This Row],[År]])))),BlankTegn)</f>
        <v>-9.7755931615136795</v>
      </c>
      <c r="AE50" s="264" t="str">
        <f ca="1">IFERROR(IF(Tidstabel[[#This Row],[År]]&gt;Input_Tidshorisont,BlankTegn,
IF(Tidstabel[[#This Row],[År]]=0,0,Tidstabel[[#This Row],[NPV_Klimafacade]]*(Tidstabel[[#This Row],[Kalkulationsrente]]/(1-(1+Tidstabel[[#This Row],[Kalkulationsrente]])^-Tidstabel[[#This Row],[År]])))),BlankTegn)</f>
        <v>.</v>
      </c>
      <c r="AF50" s="270">
        <f ca="1">IF(Tidstabel[[#This Row],[År]]&gt;Input_Tidshorisont,BlankTegn,
IF(EF_Vedligehold_i=1,IF(Tidstabel[[#This Row],[EF_Uds?]]=0,1,0),IF(MAX(AF49:OFFSET(AG49,2-EF_Vedligehold_i,0),Tidstabel[[#This Row],[EF_Uds?]])=0,1,0)))</f>
        <v>1</v>
      </c>
      <c r="AG50" s="181">
        <f>IF(Tidstabel[[#This Row],[År]]&gt;Input_Tidshorisont,BlankTegn,0)</f>
        <v>0</v>
      </c>
      <c r="AH50" s="263">
        <f ca="1">IF(Tidstabel[[#This Row],[År]]&gt;Input_Tidshorisont,BlankTegn,
Tidstabel[[#This Row],[EF_Ved?]]*EF_Vedligehold_p*-EF_Enhedspris*((1+Tidstabel[[#This Row],[Kalkulationsrente]])^-Tidstabel[[#This Row],[År]])*((1+PrisudviklingGenerelt)^Tidstabel[[#This Row],[År]]))</f>
        <v>-3.6825901982969724</v>
      </c>
      <c r="AI50" s="262">
        <f ca="1">IF(Tidstabel[[#This Row],[År]]&gt;Input_Tidshorisont,BlankTegn,
IF(Tidstabel[[#This Row],[År]]=0,Tidstabel[[#This Row],[EF_Vedligehold]],AI49+Tidstabel[[#This Row],[EF_Vedligehold]]))</f>
        <v>-255.79252753879797</v>
      </c>
      <c r="AJ50" s="245">
        <f>IFERROR(IF(Tidstabel[[#This Row],[År]]&gt;Input_Tidshorisont,BlankTegn,
Tidstabel[[#This Row],[FB_Anskaffelse]]+Tidstabel[[#This Row],[VS_Anskaffelse]]+Tidstabel[[#This Row],[EI_Anskaffelse]]+Tidstabel[[#This Row],[AP_Anskaffelse]]+Tidstabel[[#This Row],[SK_Anskaffelse]]),BlankTegn)</f>
        <v>0</v>
      </c>
      <c r="AK50" s="245" t="str">
        <f>IFERROR(IF(Tidstabel[[#This Row],[År]]&gt;Input_Tidshorisont,BlankTegn,
IF(Tidstabel[[#This Row],[År]]=0,Tidstabel[[#This Row],[KF_Anskaffelse]],AK49+Tidstabel[[#This Row],[KF_Anskaffelse]])),BlankTegn)</f>
        <v>.</v>
      </c>
      <c r="AL50" s="246" t="str">
        <f ca="1">IFERROR(IF(Tidstabel[[#This Row],[År]]&gt;Input_Tidshorisont,BlankTegn,
Tidstabel[[#This Row],[FB_Vedligehold]]+Tidstabel[[#This Row],[VS_Vedligehold]]+Tidstabel[[#This Row],[EI_Vedligehold]]+Tidstabel[[#This Row],[AP_Vedligehold]]+Tidstabel[[#This Row],[SK_Vedligehold]]),BlankTegn)</f>
        <v>.</v>
      </c>
      <c r="AM50" s="245" t="str">
        <f ca="1">IFERROR(IF(Tidstabel[[#This Row],[År]]&gt;Input_Tidshorisont,BlankTegn,
IF(Tidstabel[[#This Row],[År]]=0,Tidstabel[[#This Row],[KF_Vedligehold]],AM49+Tidstabel[[#This Row],[KF_Vedligehold]])),BlankTegn)</f>
        <v>.</v>
      </c>
      <c r="AN50"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50"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50" s="245" t="str">
        <f>IFERROR(IF(Tidstabel[[#This Row],[År]]&gt;Input_Tidshorisont,BlankTegn,
IF(Tidstabel[[#This Row],[År]]=0,Tidstabel[[#This Row],[KF_Udskiftning_Komponent]],AP49+Tidstabel[[#This Row],[KF_Udskiftning_Komponent]])),BlankTegn)</f>
        <v>.</v>
      </c>
      <c r="AQ50" s="245">
        <f>IF(Tidstabel[[#This Row],[År]]&gt;Input_Tidshorisont,BlankTegn,
IF(Tidstabel[[#This Row],[År]]=0,-SUM(Engangsudgifter[Udgift]),0))</f>
        <v>0</v>
      </c>
      <c r="AR50" s="245">
        <f>IFERROR(IF(Tidstabel[[#This Row],[År]]&gt;Input_Tidshorisont,BlankTegn,
IF(Tidstabel[[#This Row],[År]]=0,Tidstabel[[#This Row],[KF_Engangsudgifter]],AR49+Tidstabel[[#This Row],[KF_Engangsudgifter]])),BlankTegn)</f>
        <v>0</v>
      </c>
      <c r="AS50" s="315" t="str">
        <f>IFERROR(IF(Tidstabel[[#This Row],[År]]&gt;Input_Tidshorisont,BlankTegn,
-Energibesparelse_Årlig),BlankTegn)</f>
        <v>.</v>
      </c>
      <c r="AT50" s="245" t="str">
        <f>IFERROR(IF(Tidstabel[[#This Row],[År]]&gt;Input_Tidshorisont,BlankTegn,
IF(Tidstabel[[#This Row],[År]]=0,0,-Tidstabel[[#This Row],[KF_Energiforbrug]]*Input_Fjernvarmepris*((1+Tidstabel[[#This Row],[Kalkulationsrente]])^-Tidstabel[[#This Row],[År]])*((1+PrisudviklingFjernvarme)^Tidstabel[[#This Row],[År]]))),BlankTegn)</f>
        <v>.</v>
      </c>
      <c r="AU50" s="262" t="str">
        <f>IFERROR(IF(Tidstabel[[#This Row],[År]]&gt;Input_Tidshorisont,BlankTegn,
IF(Tidstabel[[#This Row],[År]]=0,Tidstabel[[#This Row],[KF_Forsyning]],AU49+Tidstabel[[#This Row],[KF_Forsyning]])),BlankTegn)</f>
        <v>.</v>
      </c>
      <c r="AV50" s="245">
        <f>IFERROR(IF(Tidstabel[[#This Row],[År]]&gt;Input_Tidshorisont,BlankTegn,
IF(Tidstabel[[#This Row],[År]]=0,-FB_Enhedspris,0)),BlankTegn)</f>
        <v>0</v>
      </c>
      <c r="AW50" s="245" t="str">
        <f>IFERROR(IF(Tidstabel[[#This Row],[År]]&gt;Input_Tidshorisont,BlankTegn,
IF(Tidstabel[[#This Row],[År]]=0,FB_Enhedspris/FB_Levetid,AW49*((1+Tidstabel[[#This Row],[Kalkulationsrente]])^-1)*((1+PrisudviklingGenerelt)^1))),BlankTegn)</f>
        <v>.</v>
      </c>
      <c r="AX50" s="178" t="str">
        <f ca="1">IFERROR(IF(Tidstabel[[#This Row],[År]]&gt;Input_Tidshorisont,BlankTegn,
IF(FB_Vedligehold_i=1,IF(Tidstabel[[#This Row],[FB_Uds?]]=0,1,0),IF(MAX(AX49:OFFSET(AY49,2-FB_Vedligehold_i,0),Tidstabel[[#This Row],[FB_Uds?]])=0,1,0))),BlankTegn)</f>
        <v>.</v>
      </c>
      <c r="AY50" s="178" t="str">
        <f>IFERROR(IF(Tidstabel[[#This Row],[År]]&gt;Input_Tidshorisont,BlankTegn,
IF(Tidstabel[[#This Row],[År]]=0,1,IF(MOD(Tidstabel[[#This Row],[År]],FB_Levetid)=0,1,IF(Tidstabel[[#This Row],[År]]=Input_Tidshorisont,0,0)))),BlankTegn)</f>
        <v>.</v>
      </c>
      <c r="AZ50" s="245" t="str">
        <f ca="1">IFERROR(IF(Tidstabel[[#This Row],[År]]&gt;Input_Tidshorisont,BlankTegn,
FB_Vedligehold_p*-FB_Enhedspris*Tidstabel[[#This Row],[FB_Ved?]]*((1+Tidstabel[[#This Row],[Kalkulationsrente]])^-Tidstabel[[#This Row],[År]])*((1+PrisudviklingGenerelt)^Tidstabel[[#This Row],[År]])),BlankTegn)</f>
        <v>.</v>
      </c>
      <c r="BA50" s="245" t="str">
        <f>IFERROR(IF(Tidstabel[[#This Row],[År]]&gt;Input_Tidshorisont,BlankTegn,
IF(Tidstabel[[#This Row],[År]]=0,FB_Enhedspris,SUM(BA49:BB49)*((1+Tidstabel[[#This Row],[Kalkulationsrente]])^-1)*((1+PrisudviklingGenerelt)^1)-Tidstabel[[#This Row],[FB_Afskrivning]])),BlankTegn)</f>
        <v>.</v>
      </c>
      <c r="BB50" s="245" t="str">
        <f>IFERROR(IF(Tidstabel[[#This Row],[År]]&gt;Input_Tidshorisont,BlankTegn,
IF(Tidstabel[[#This Row],[År]]=0,0,Tidstabel[[#This Row],[FB_Uds?]]*FB_Enhedspris*((1+Tidstabel[[#This Row],[Kalkulationsrente]])^-Tidstabel[[#This Row],[År]])*((1+PrisudviklingGenerelt)^Tidstabel[[#This Row],[År]]))),BlankTegn)</f>
        <v>.</v>
      </c>
      <c r="BC50" s="262" t="str">
        <f>IFERROR(IF(Tidstabel[[#This Row],[År]]&gt;Input_Tidshorisont,BlankTegn,
IF(Tidstabel[[#This Row],[År]]=0,0,Tidstabel[[#This Row],[FB_Uds?]]*-FB_Enhedspris*FB_Genoprettelse*((1+Tidstabel[[#This Row],[Kalkulationsrente]])^-Tidstabel[[#This Row],[År]])*((1+PrisudviklingGenerelt)^Tidstabel[[#This Row],[År]]))),BlankTegn)</f>
        <v>.</v>
      </c>
      <c r="BD50" s="245">
        <f>IFERROR(IF(Tidstabel[[#This Row],[År]]&gt;Input_Tidshorisont,BlankTegn,
IF(Tidstabel[[#This Row],[År]]=0,-VS_Enhedspris,0)),BlankTegn)</f>
        <v>0</v>
      </c>
      <c r="BE50" s="245" t="str">
        <f>IFERROR(IF(Tidstabel[[#This Row],[År]]&gt;Input_Tidshorisont,BlankTegn,
IF(Tidstabel[[#This Row],[År]]=0,VS_Enhedspris/VS_Levetid,BE49*((1+Tidstabel[[#This Row],[Kalkulationsrente]])^-1)*((1+PrisudviklingGenerelt)^1))),BlankTegn)</f>
        <v>.</v>
      </c>
      <c r="BF50" s="178" t="str">
        <f ca="1">IFERROR(IF(Tidstabel[[#This Row],[År]]&gt;Input_Tidshorisont,BlankTegn,
IF(VS_Vedligehold_i=1,IF(Tidstabel[[#This Row],[VS_Uds?]]=0,1,0),IF(MAX(BF49:OFFSET(BG49,2-VS_Vedligehold_i,0),Tidstabel[[#This Row],[VS_Uds?]])=0,1,0))),BlankTegn)</f>
        <v>.</v>
      </c>
      <c r="BG50" s="178" t="str">
        <f>IFERROR(IF(Tidstabel[[#This Row],[År]]&gt;Input_Tidshorisont,BlankTegn,
IF(Tidstabel[[#This Row],[År]]=0,1,IF(MOD(Tidstabel[[#This Row],[År]],VS_Levetid)=0,1,IF(Tidstabel[[#This Row],[År]]=Input_Tidshorisont,0,0)))),BlankTegn)</f>
        <v>.</v>
      </c>
      <c r="BH50" s="245" t="str">
        <f ca="1">IFERROR(IF(Tidstabel[[#This Row],[År]]&gt;Input_Tidshorisont,BlankTegn,
VS_Vedligehold_p*-VS_Enhedspris*Tidstabel[[#This Row],[VS_Ved?]]*((1+Tidstabel[[#This Row],[Kalkulationsrente]])^-Tidstabel[[#This Row],[År]])*((1+PrisudviklingGenerelt)^Tidstabel[[#This Row],[År]])),BlankTegn)</f>
        <v>.</v>
      </c>
      <c r="BI50" s="245" t="str">
        <f>IFERROR(IF(Tidstabel[[#This Row],[År]]&gt;Input_Tidshorisont,BlankTegn,
IF(Tidstabel[[#This Row],[År]]=0,VS_Enhedspris,SUM(BI49:BJ49)*((1+Tidstabel[[#This Row],[Kalkulationsrente]])^-1)*((1+PrisudviklingGenerelt)^1)-Tidstabel[[#This Row],[VS_Afskrivning]])),BlankTegn)</f>
        <v>.</v>
      </c>
      <c r="BJ50" s="245" t="str">
        <f>IFERROR(IF(Tidstabel[[#This Row],[År]]&gt;Input_Tidshorisont,BlankTegn,
IF(Tidstabel[[#This Row],[År]]=0,0,Tidstabel[[#This Row],[VS_Uds?]]*VS_Enhedspris*((1+Tidstabel[[#This Row],[Kalkulationsrente]])^-Tidstabel[[#This Row],[År]])*((1+PrisudviklingGenerelt)^Tidstabel[[#This Row],[År]]))),BlankTegn)</f>
        <v>.</v>
      </c>
      <c r="BK50" s="262" t="str">
        <f>IFERROR(IF(Tidstabel[[#This Row],[År]]&gt;Input_Tidshorisont,BlankTegn,
IF(Tidstabel[[#This Row],[År]]=0,0,Tidstabel[[#This Row],[VS_Uds?]]*-VS_Enhedspris*VS_Genoprettelse*((1+Tidstabel[[#This Row],[Kalkulationsrente]])^-Tidstabel[[#This Row],[År]])*((1+PrisudviklingGenerelt)^Tidstabel[[#This Row],[År]]))),BlankTegn)</f>
        <v>.</v>
      </c>
      <c r="BL50" s="245">
        <f>IFERROR(IF(Tidstabel[[#This Row],[År]]&gt;Input_Tidshorisont,BlankTegn,
IF(Tidstabel[[#This Row],[År]]=0,-EI_Enhedspris,0)),BlankTegn)</f>
        <v>0</v>
      </c>
      <c r="BM50" s="245" t="str">
        <f>IFERROR(IF(Tidstabel[[#This Row],[År]]&gt;Input_Tidshorisont,BlankTegn,
IF(Tidstabel[[#This Row],[År]]=0,EI_Enhedspris/EI_Levetid,BM49*((1+Tidstabel[[#This Row],[Kalkulationsrente]])^-1)*((1+PrisudviklingGenerelt)^1))),BlankTegn)</f>
        <v>.</v>
      </c>
      <c r="BN50" s="178" t="str">
        <f ca="1">IFERROR(IF(Tidstabel[[#This Row],[År]]&gt;Input_Tidshorisont,BlankTegn,
IF(EI_Vedligehold_i=1,IF(Tidstabel[[#This Row],[EI_Uds?]]=0,1,0),IF(MAX(BN49:OFFSET(BO49,2-EI_Vedligehold_i,0),Tidstabel[[#This Row],[EI_Uds?]])=0,1,0))),BlankTegn)</f>
        <v>.</v>
      </c>
      <c r="BO50" s="178" t="str">
        <f>IFERROR(IF(Tidstabel[[#This Row],[År]]&gt;Input_Tidshorisont,BlankTegn,
IF(Tidstabel[[#This Row],[År]]=0,1,IF(MOD(Tidstabel[[#This Row],[År]],EI_Levetid)=0,1,IF(Tidstabel[[#This Row],[År]]=Input_Tidshorisont,0,0)))),BlankTegn)</f>
        <v>.</v>
      </c>
      <c r="BP50" s="245" t="str">
        <f ca="1">IFERROR(IF(Tidstabel[[#This Row],[År]]&gt;Input_Tidshorisont,BlankTegn,
EI_Vedligehold_p*-EI_Enhedspris*Tidstabel[[#This Row],[EI_Ved?]]*((1+Tidstabel[[#This Row],[Kalkulationsrente]])^-Tidstabel[[#This Row],[År]])*((1+PrisudviklingGenerelt)^Tidstabel[[#This Row],[År]])),BlankTegn)</f>
        <v>.</v>
      </c>
      <c r="BQ50" s="245" t="str">
        <f>IFERROR(IF(Tidstabel[[#This Row],[År]]&gt;Input_Tidshorisont,BlankTegn,
IF(Tidstabel[[#This Row],[År]]=0,EI_Enhedspris,SUM(BQ49:BR49)*((1+Tidstabel[[#This Row],[Kalkulationsrente]])^-1)*((1+PrisudviklingGenerelt)^1)-Tidstabel[[#This Row],[EI_Afskrivning]])),BlankTegn)</f>
        <v>.</v>
      </c>
      <c r="BR50" s="245" t="str">
        <f>IFERROR(IF(Tidstabel[[#This Row],[År]]&gt;Input_Tidshorisont,BlankTegn,
IF(Tidstabel[[#This Row],[År]]=0,0,Tidstabel[[#This Row],[EI_Uds?]]*EI_Enhedspris*((1+Tidstabel[[#This Row],[Kalkulationsrente]])^-Tidstabel[[#This Row],[År]])*((1+PrisudviklingGenerelt)^Tidstabel[[#This Row],[År]]))),BlankTegn)</f>
        <v>.</v>
      </c>
      <c r="BS50" s="262" t="str">
        <f>IFERROR(IF(Tidstabel[[#This Row],[År]]&gt;Input_Tidshorisont,BlankTegn,
IF(Tidstabel[[#This Row],[År]]=0,0,Tidstabel[[#This Row],[EI_Uds?]]*-EI_Enhedspris*EI_Genoprettelse*((1+Tidstabel[[#This Row],[Kalkulationsrente]])^-Tidstabel[[#This Row],[År]])*((1+PrisudviklingGenerelt)^Tidstabel[[#This Row],[År]]))),BlankTegn)</f>
        <v>.</v>
      </c>
      <c r="BT50" s="245">
        <f>IFERROR(IF(Tidstabel[[#This Row],[År]]&gt;Input_Tidshorisont,BlankTegn,
IF(Tidstabel[[#This Row],[År]]=0,-AP_Enhedspris,0)),BlankTegn)</f>
        <v>0</v>
      </c>
      <c r="BU50" s="245" t="str">
        <f>IFERROR(IF(Tidstabel[[#This Row],[År]]&gt;Input_Tidshorisont,BlankTegn,
IF(Tidstabel[[#This Row],[År]]=0,AP_Enhedspris/AP_Levetid,BU49*((1+Tidstabel[[#This Row],[Kalkulationsrente]])^-1)*((1+PrisudviklingGenerelt)^1))),BlankTegn)</f>
        <v>.</v>
      </c>
      <c r="BV50" s="178" t="str">
        <f ca="1">IFERROR(IF(Tidstabel[[#This Row],[År]]&gt;Input_Tidshorisont,BlankTegn,
IF(AP_Vedligehold_i=1,IF(Tidstabel[[#This Row],[AP_Uds?]]=0,1,0),IF(MAX(BV49:OFFSET(BW49,2-AP_Vedligehold_i,0),Tidstabel[[#This Row],[AP_Uds?]])=0,1,0))),BlankTegn)</f>
        <v>.</v>
      </c>
      <c r="BW50" s="178" t="str">
        <f>IFERROR(IF(Tidstabel[[#This Row],[År]]&gt;Input_Tidshorisont,BlankTegn,
IF(Tidstabel[[#This Row],[År]]=0,1,IF(MOD(Tidstabel[[#This Row],[År]],AP_Levetid)=0,1,IF(Tidstabel[[#This Row],[År]]=Input_Tidshorisont,0,0)))),BlankTegn)</f>
        <v>.</v>
      </c>
      <c r="BX50" s="245" t="str">
        <f ca="1">IFERROR(IF(Tidstabel[[#This Row],[År]]&gt;Input_Tidshorisont,BlankTegn,
AP_Vedligehold_p*-AP_Enhedspris*Tidstabel[[#This Row],[AP_Ved?]]*((1+Tidstabel[[#This Row],[Kalkulationsrente]])^-Tidstabel[[#This Row],[År]])*((1+PrisudviklingGenerelt)^Tidstabel[[#This Row],[År]])),BlankTegn)</f>
        <v>.</v>
      </c>
      <c r="BY50" s="245" t="str">
        <f>IFERROR(IF(Tidstabel[[#This Row],[År]]&gt;Input_Tidshorisont,BlankTegn,
IF(Tidstabel[[#This Row],[År]]=0,AP_Enhedspris,SUM(BY49:BZ49)*((1+Tidstabel[[#This Row],[Kalkulationsrente]])^-1)*((1+PrisudviklingGenerelt)^1)-Tidstabel[[#This Row],[AP_Afskrivning]])),BlankTegn)</f>
        <v>.</v>
      </c>
      <c r="BZ50" s="245" t="str">
        <f>IFERROR(IF(Tidstabel[[#This Row],[År]]&gt;Input_Tidshorisont,BlankTegn,
IF(Tidstabel[[#This Row],[År]]=0,0,Tidstabel[[#This Row],[AP_Uds?]]*AP_Enhedspris*((1+Tidstabel[[#This Row],[Kalkulationsrente]])^-Tidstabel[[#This Row],[År]])*((1+PrisudviklingGenerelt)^Tidstabel[[#This Row],[År]]))),BlankTegn)</f>
        <v>.</v>
      </c>
      <c r="CA50" s="262" t="str">
        <f>IFERROR(IF(Tidstabel[[#This Row],[År]]&gt;Input_Tidshorisont,BlankTegn,
IF(Tidstabel[[#This Row],[År]]=0,0,Tidstabel[[#This Row],[AP_Uds?]]*-AP_Enhedspris*AP_Genoprettelse*((1+Tidstabel[[#This Row],[Kalkulationsrente]])^-Tidstabel[[#This Row],[År]])*((1+PrisudviklingGenerelt)^Tidstabel[[#This Row],[År]]))),BlankTegn)</f>
        <v>.</v>
      </c>
      <c r="CB50" s="245">
        <f>IFERROR(IF(Tidstabel[[#This Row],[År]]&gt;Input_Tidshorisont,BlankTegn,
IF(Tidstabel[[#This Row],[År]]=0,-SK_Enhedspris,0)),BlankTegn)</f>
        <v>0</v>
      </c>
      <c r="CC50" s="245" t="str">
        <f>IFERROR(IF(Tidstabel[[#This Row],[År]]&gt;Input_Tidshorisont,BlankTegn,
IF(Tidstabel[[#This Row],[År]]=0,SK_Enhedspris/SK_Levetid,CC49*((1+Tidstabel[[#This Row],[Kalkulationsrente]])^-1)*((1+PrisudviklingGenerelt)^1))),BlankTegn)</f>
        <v>.</v>
      </c>
      <c r="CD50" s="178" t="str">
        <f ca="1">IFERROR(IF(Tidstabel[[#This Row],[År]]&gt;Input_Tidshorisont,BlankTegn,
IF(SK_Vedligehold_i=1,IF(Tidstabel[[#This Row],[SK_Uds?]]=0,1,0),IF(MAX(CD49:OFFSET(CE49,2-SK_Vedligehold_i,0),Tidstabel[[#This Row],[SK_Uds?]])=0,1,0))),BlankTegn)</f>
        <v>.</v>
      </c>
      <c r="CE50" s="178" t="str">
        <f>IFERROR(IF(Tidstabel[[#This Row],[År]]&gt;Input_Tidshorisont,BlankTegn,
IF(Tidstabel[[#This Row],[År]]=0,1,IF(MOD(Tidstabel[[#This Row],[År]],SK_Levetid)=0,1,IF(Tidstabel[[#This Row],[År]]=Input_Tidshorisont,0,0)))),BlankTegn)</f>
        <v>.</v>
      </c>
      <c r="CF50" s="245" t="str">
        <f ca="1">IFERROR(IF(Tidstabel[[#This Row],[År]]&gt;Input_Tidshorisont,BlankTegn,
SK_Vedligehold_p*-SK_Enhedspris*Tidstabel[[#This Row],[SK_Ved?]]*((1+Tidstabel[[#This Row],[Kalkulationsrente]])^-Tidstabel[[#This Row],[År]])*((1+PrisudviklingGenerelt)^Tidstabel[[#This Row],[År]])),BlankTegn)</f>
        <v>.</v>
      </c>
      <c r="CG50" s="245" t="str">
        <f>IFERROR(IF(Tidstabel[[#This Row],[År]]&gt;Input_Tidshorisont,BlankTegn,
IF(Tidstabel[[#This Row],[År]]=0,SK_Enhedspris,SUM(CG49:CH49)*((1+Tidstabel[[#This Row],[Kalkulationsrente]])^-1)*((1+PrisudviklingGenerelt)^1)-Tidstabel[[#This Row],[SK_Afskrivning]])),BlankTegn)</f>
        <v>.</v>
      </c>
      <c r="CH50" s="245" t="str">
        <f>IFERROR(IF(Tidstabel[[#This Row],[År]]&gt;Input_Tidshorisont,BlankTegn,
IF(Tidstabel[[#This Row],[År]]=0,0,Tidstabel[[#This Row],[SK_Uds?]]*SK_Enhedspris*((1+Tidstabel[[#This Row],[Kalkulationsrente]])^-Tidstabel[[#This Row],[År]])*((1+PrisudviklingGenerelt)^Tidstabel[[#This Row],[År]]))),BlankTegn)</f>
        <v>.</v>
      </c>
      <c r="CI50" s="262" t="str">
        <f>IFERROR(IF(Tidstabel[[#This Row],[År]]&gt;Input_Tidshorisont,BlankTegn,
IF(Tidstabel[[#This Row],[År]]=0,0,Tidstabel[[#This Row],[SK_Uds?]]*-SK_Enhedspris*SK_Genoprettelse*((1+Tidstabel[[#This Row],[Kalkulationsrente]])^-Tidstabel[[#This Row],[År]])*((1+PrisudviklingGenerelt)^Tidstabel[[#This Row],[År]]))),BlankTegn)</f>
        <v>.</v>
      </c>
      <c r="CJ50" s="19"/>
    </row>
    <row r="51" spans="1:88">
      <c r="A51" s="250">
        <v>44</v>
      </c>
      <c r="B51" s="250">
        <f>Input_Etableringsår+Tidstabel[[#This Row],[År]]</f>
        <v>2068</v>
      </c>
      <c r="C51" s="274" cm="1">
        <f t="array" ref="C51">_xlfn.IFS(Tidstabel[[#This Row],[År]]&gt;KR_Trin3_Tærskel,KR_Trin3_Rente,Tidstabel[[#This Row],[År]]&gt;KR_Trin2_Tærskel,KR_Trin2_Rente,Tidstabel[[#This Row],[År]]&gt;KR_Trin1_Tærskel,KR_Trin1_Rente,Tidstabel[[#This Row],[År]]&gt;KR_Trin0_Tærskel,KR_Trin0_Rente)</f>
        <v>2.5000000000000001E-2</v>
      </c>
      <c r="D51" s="142" t="str" cm="1">
        <f t="array" ref="D51">IFERROR(
INDEX(Range_Materiale_ÅrligeEmissioner,MATCH(1,(Materialedata[Komponent]=FB_Titel)*(Materialedata[Materiale]=FB_Materiale),0),MATCH(Tidstabel[[#This Row],[År]],Range_Materiale_År,0)),BlankTegn)</f>
        <v>.</v>
      </c>
      <c r="E51" s="142" t="str" cm="1">
        <f t="array" ref="E51">IFERROR(
INDEX(Range_Materiale_ÅrligeEmissioner,MATCH(1,(Materialedata[Komponent]=SK_Titel)*(Materialedata[Materiale]=SK_Materiale),0),MATCH(Tidstabel[[#This Row],[År]],Range_Materiale_År,0)),BlankTegn)</f>
        <v>.</v>
      </c>
      <c r="F51" s="142" t="str" cm="1">
        <f t="array" ref="F51">IFERROR(
INDEX(Range_Materiale_ÅrligeEmissioner,MATCH(1,(Materialedata[Komponent]=EI_Titel)*(Materialedata[Materiale]=EI_Materiale),0),MATCH(Tidstabel[[#This Row],[År]],Range_Materiale_År,0)),BlankTegn)</f>
        <v>.</v>
      </c>
      <c r="G51" s="142" t="str" cm="1">
        <f t="array" ref="G51">IFERROR(
INDEX(Range_Materiale_ÅrligeEmissioner,MATCH(1,(Materialedata[Komponent]=AP_Titel)*(Materialedata[Materiale]=AP_Materiale),0),MATCH(Tidstabel[[#This Row],[År]],Range_Materiale_År,0)),BlankTegn)</f>
        <v>.</v>
      </c>
      <c r="H51" s="142" t="str" cm="1">
        <f t="array" ref="H51">IFERROR(
INDEX(Range_Materiale_ÅrligeEmissioner,MATCH(1,(Materialedata[Komponent]=VS_Titel)*(Materialedata[Materiale]=VS_Materiale),0),MATCH(Tidstabel[[#This Row],[År]],Range_Materiale_År,0)),BlankTegn)</f>
        <v>.</v>
      </c>
      <c r="I51" s="142" t="str">
        <f>IFERROR(
IF(SUM(Tidstabel[[#This Row],[Facadebeklædning]:[Vindspærre]])=0,BlankTegn,
SUM(Tidstabel[[#This Row],[Facadebeklædning]:[Vindspærre]])),BlankTegn)</f>
        <v>.</v>
      </c>
      <c r="J51" s="139">
        <f>IF(Tidstabel[[#This Row],[År]]&gt;Input_Tidshorisont,BlankTegn,
A5_ElVarmeBrændstofByggeplads)</f>
        <v>0.25</v>
      </c>
      <c r="K51" s="142" t="str">
        <f>IFERROR(IF(Tidstabel[[#This Row],[År]]&gt;Input_Tidshorisont,BlankTegn,
-1*INDEX(Range_Energi_ÅrligBesparelse,MATCH(Input_EksisterendeFacade,Energiberegning[Ydervæg],0),MATCH(Tidstabel[[#This Row],[Årstal]],Range_Energi_Årstal,0))),BlankTegn)</f>
        <v>.</v>
      </c>
      <c r="L51" s="142">
        <f>IF(Tidstabel[[#This Row],[År]]&gt;Input_Tidshorisont,BlankTegn,
(Tidstabel[[#This Row],[År]]+1)*(SUM(Vedligeholdelsesmaterialer[Facadefarve],Vedligeholdelsesmaterialer[Grunder og mellemmaling])/12+SUM(Vedligeholdelsesmaterialer[Puds])/30))</f>
        <v>14.618442862499998</v>
      </c>
      <c r="M51" s="142" t="str">
        <f>IFERROR(IF(Tidstabel[[#This Row],[År]]&gt;Input_Tidshorisont,BlankTegn,
Tidstabel[[#This Row],[Materialer_Total]]+Tidstabel[[#This Row],[Byggeprocess]]),BlankTegn)</f>
        <v>.</v>
      </c>
      <c r="N51" s="142" t="str">
        <f>IFERROR(IF(Tidstabel[[#This Row],[År]]&gt;Input_Tidshorisont,BlankTegn,
Tidstabel[[#This Row],[Energibesparelse]]+Tidstabel[[#This Row],[Emission_Brutto]]),BlankTegn)</f>
        <v>.</v>
      </c>
      <c r="O51" s="142" t="str">
        <f>IFERROR(IF(Tidstabel[[#This Row],[År]]&gt;Input_Tidshorisont,BlankTegn,
Tidstabel[[#This Row],[Emission_Netto]]-Tidstabel[[#This Row],[Vedligehold_EksisterendeFacade]]),BlankTegn)</f>
        <v>.</v>
      </c>
      <c r="P51" s="271" t="str">
        <f>IFERROR(IF(Tidstabel[[#This Row],[År]]&gt;Input_Tidshorisont,BlankTegn,
IF(AND(Tidstabel[[#This Row],[Emission_Netto]]-Tidstabel[[#This Row],[Vedligehold_EksisterendeFacade]]&gt;0,N52-L52&lt;0),-1,IF(AND(Tidstabel[[#This Row],[Emission_Netto]]-Tidstabel[[#This Row],[Vedligehold_EksisterendeFacade]]&lt;0,N52-L52&gt;0),1,0))),BlankTegn)</f>
        <v>.</v>
      </c>
      <c r="Q51" s="174" t="str">
        <f>IF(Tidstabel[[#This Row],[År]]&gt;Input_Tidshorisont,BlankTegn,
IF(Tidstabel[[#This Row],[LCA-Skæring]]=-1,SUM(Tidstabel[[#This Row],[År]]*(1-ABS(Tidstabel[[#This Row],[LCA-Difference]])/(ABS(Tidstabel[[#This Row],[LCA-Difference]])+ABS(O52))),A52*(1-ABS(O52)/(ABS(Tidstabel[[#This Row],[LCA-Difference]])+ABS(O52)))),"-"))</f>
        <v>-</v>
      </c>
      <c r="R51" s="174" t="str">
        <f>IF(Tidstabel[[#This Row],[År]]&gt;Input_Tidshorisont,BlankTegn,
IF(Tidstabel[[#This Row],[LCA-Skæring]]=-1,SUM(Tidstabel[[#This Row],[Emission_Netto]]*(1-ABS(Tidstabel[[#This Row],[LCA-Difference]])/(ABS(Tidstabel[[#This Row],[LCA-Difference]])+ABS(O52))),N52*(1-ABS(O52)/(ABS(Tidstabel[[#This Row],[LCA-Difference]])+ABS(O52)))),"-"))</f>
        <v>-</v>
      </c>
      <c r="S51" s="174" t="str">
        <f>IF(Tidstabel[[#This Row],[År]]&gt;Input_Tidshorisont,BlankTegn,
IF(Tidstabel[[#This Row],[LCA-Skæring]]=1,SUM(Tidstabel[[#This Row],[År]]*(1-ABS(Tidstabel[[#This Row],[LCA-Difference]])/(ABS(Tidstabel[[#This Row],[LCA-Difference]])+ABS(O52))),A52*(1-ABS(O52)/(ABS(Tidstabel[[#This Row],[LCA-Difference]])+ABS(O52)))),"-"))</f>
        <v>-</v>
      </c>
      <c r="T51" s="264" t="str">
        <f>IF(Tidstabel[[#This Row],[År]]&gt;Input_Tidshorisont,BlankTegn,
IF(Tidstabel[[#This Row],[LCA-Skæring]]=1,SUM(Tidstabel[[#This Row],[Emission_Netto]]*(1-ABS(Tidstabel[[#This Row],[LCA-Difference]])/(ABS(Tidstabel[[#This Row],[LCA-Difference]])+ABS(O52))),N52*(1-ABS(O52)/(ABS(Tidstabel[[#This Row],[LCA-Difference]])+ABS(O52)))),"-"))</f>
        <v>-</v>
      </c>
      <c r="U51" s="142" t="str">
        <f ca="1">IFERROR(IF(Tidstabel[[#This Row],[År]]&gt;Input_Tidshorisont,BlankTegn,
Tidstabel[[#This Row],[NPV_Klimafacade]]-Tidstabel[[#This Row],[NPV_Eksisterende]]),BlankTegn)</f>
        <v>.</v>
      </c>
      <c r="V51" s="271" t="str">
        <f ca="1">IFERROR(IF(Tidstabel[[#This Row],[År]]&gt;Input_Tidshorisont,BlankTegn,
IF(AND(Tidstabel[[#This Row],[NPV_Klimafacade]]-Tidstabel[[#This Row],[NPV_Eksisterende]]&gt;0,AB52-AA52&lt;0),1,IF(AND(Tidstabel[[#This Row],[NPV_Klimafacade]]-Tidstabel[[#This Row],[NPV_Eksisterende]]&lt;0,AB52-AA52&gt;0),-1,0))),BlankTegn)</f>
        <v>.</v>
      </c>
      <c r="W51" s="174" t="str">
        <f ca="1">IF(Tidstabel[[#This Row],[År]]&gt;Input_Tidshorisont,BlankTegn,
IF(Tidstabel[[#This Row],[LCC-Skæring]]=-1,SUM(Tidstabel[[#This Row],[År]]*(1-ABS(Tidstabel[[#This Row],[LCC-Difference]])/(ABS(Tidstabel[[#This Row],[LCC-Difference]])+ABS(U52))),A52*(1-ABS(U52)/(ABS(Tidstabel[[#This Row],[LCC-Difference]])+ABS(U52)))),"-"))</f>
        <v>-</v>
      </c>
      <c r="X51" s="174" t="str">
        <f ca="1">IF(Tidstabel[[#This Row],[År]]&gt;Input_Tidshorisont,BlankTegn,
IF(Tidstabel[[#This Row],[LCC-Skæring]]=-1,SUM(Tidstabel[[#This Row],[NPV_Klimafacade]]*(1-ABS(Tidstabel[[#This Row],[LCC-Difference]])/(ABS(Tidstabel[[#This Row],[LCC-Difference]])+ABS(U52))),AB52*(1-ABS(U52)/(ABS(Tidstabel[[#This Row],[LCC-Difference]])+ABS(U52)))),"-"))</f>
        <v>-</v>
      </c>
      <c r="Y51" s="174" t="str">
        <f ca="1">IF(Tidstabel[[#This Row],[År]]&gt;Input_Tidshorisont,BlankTegn,
IF(Tidstabel[[#This Row],[LCC-Skæring]]=1,SUM(Tidstabel[[#This Row],[År]]*(1-ABS(Tidstabel[[#This Row],[LCC-Difference]])/(ABS(Tidstabel[[#This Row],[LCC-Difference]])+ABS(U52))),A52*(1-ABS(U52)/(ABS(Tidstabel[[#This Row],[LCC-Difference]])+ABS(U52)))),"-"))</f>
        <v>-</v>
      </c>
      <c r="Z51" s="264" t="str">
        <f ca="1">IF(Tidstabel[[#This Row],[År]]&gt;Input_Tidshorisont,BlankTegn,
IF(Tidstabel[[#This Row],[LCC-Skæring]]=1,SUM(Tidstabel[[#This Row],[NPV_Klimafacade]]*(1-ABS(Tidstabel[[#This Row],[LCC-Difference]])/(ABS(Tidstabel[[#This Row],[LCC-Difference]])+ABS(U52))),AB52*(1-ABS(U52)/(ABS(Tidstabel[[#This Row],[LCC-Difference]])+ABS(U52)))),"-"))</f>
        <v>-</v>
      </c>
      <c r="AA51" s="142">
        <f ca="1">IF(Tidstabel[[#This Row],[År]]&gt;Input_Tidshorisont,BlankTegn,
Tidstabel[[#This Row],[EF_Vedligehold_Aggregeret]])</f>
        <v>-259.38529846396574</v>
      </c>
      <c r="AB51"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51" s="142" t="str">
        <f>IFERROR(IF(Tidstabel[[#This Row],[År]]&gt;Input_Tidshorisont,BlankTegn,
Tidstabel[[#This Row],[KF_Anskaffelse_Aggregeret]]+Tidstabel[[#This Row],[KF_Engangsudgifter_Aggregeret]]),BlankTegn)</f>
        <v>.</v>
      </c>
      <c r="AD51" s="174">
        <f ca="1">IFERROR(IF(Tidstabel[[#This Row],[År]]&gt;Input_Tidshorisont,BlankTegn,
IF(Tidstabel[[#This Row],[År]]=0,0,Tidstabel[[#This Row],[NPV_Eksisterende]]*(Tidstabel[[#This Row],[Kalkulationsrente]]/(1-(1+Tidstabel[[#This Row],[Kalkulationsrente]])^-Tidstabel[[#This Row],[År]])))),BlankTegn)</f>
        <v>-9.7867028307250319</v>
      </c>
      <c r="AE51" s="264" t="str">
        <f ca="1">IFERROR(IF(Tidstabel[[#This Row],[År]]&gt;Input_Tidshorisont,BlankTegn,
IF(Tidstabel[[#This Row],[År]]=0,0,Tidstabel[[#This Row],[NPV_Klimafacade]]*(Tidstabel[[#This Row],[Kalkulationsrente]]/(1-(1+Tidstabel[[#This Row],[Kalkulationsrente]])^-Tidstabel[[#This Row],[År]])))),BlankTegn)</f>
        <v>.</v>
      </c>
      <c r="AF51" s="270">
        <f ca="1">IF(Tidstabel[[#This Row],[År]]&gt;Input_Tidshorisont,BlankTegn,
IF(EF_Vedligehold_i=1,IF(Tidstabel[[#This Row],[EF_Uds?]]=0,1,0),IF(MAX(AF50:OFFSET(AG50,2-EF_Vedligehold_i,0),Tidstabel[[#This Row],[EF_Uds?]])=0,1,0)))</f>
        <v>1</v>
      </c>
      <c r="AG51" s="181">
        <f>IF(Tidstabel[[#This Row],[År]]&gt;Input_Tidshorisont,BlankTegn,0)</f>
        <v>0</v>
      </c>
      <c r="AH51" s="263">
        <f ca="1">IF(Tidstabel[[#This Row],[År]]&gt;Input_Tidshorisont,BlankTegn,
Tidstabel[[#This Row],[EF_Ved?]]*EF_Vedligehold_p*-EF_Enhedspris*((1+Tidstabel[[#This Row],[Kalkulationsrente]])^-Tidstabel[[#This Row],[År]])*((1+PrisudviklingGenerelt)^Tidstabel[[#This Row],[År]]))</f>
        <v>-3.5927709251677791</v>
      </c>
      <c r="AI51" s="262">
        <f ca="1">IF(Tidstabel[[#This Row],[År]]&gt;Input_Tidshorisont,BlankTegn,
IF(Tidstabel[[#This Row],[År]]=0,Tidstabel[[#This Row],[EF_Vedligehold]],AI50+Tidstabel[[#This Row],[EF_Vedligehold]]))</f>
        <v>-259.38529846396574</v>
      </c>
      <c r="AJ51" s="245">
        <f>IFERROR(IF(Tidstabel[[#This Row],[År]]&gt;Input_Tidshorisont,BlankTegn,
Tidstabel[[#This Row],[FB_Anskaffelse]]+Tidstabel[[#This Row],[VS_Anskaffelse]]+Tidstabel[[#This Row],[EI_Anskaffelse]]+Tidstabel[[#This Row],[AP_Anskaffelse]]+Tidstabel[[#This Row],[SK_Anskaffelse]]),BlankTegn)</f>
        <v>0</v>
      </c>
      <c r="AK51" s="245" t="str">
        <f>IFERROR(IF(Tidstabel[[#This Row],[År]]&gt;Input_Tidshorisont,BlankTegn,
IF(Tidstabel[[#This Row],[År]]=0,Tidstabel[[#This Row],[KF_Anskaffelse]],AK50+Tidstabel[[#This Row],[KF_Anskaffelse]])),BlankTegn)</f>
        <v>.</v>
      </c>
      <c r="AL51" s="246" t="str">
        <f ca="1">IFERROR(IF(Tidstabel[[#This Row],[År]]&gt;Input_Tidshorisont,BlankTegn,
Tidstabel[[#This Row],[FB_Vedligehold]]+Tidstabel[[#This Row],[VS_Vedligehold]]+Tidstabel[[#This Row],[EI_Vedligehold]]+Tidstabel[[#This Row],[AP_Vedligehold]]+Tidstabel[[#This Row],[SK_Vedligehold]]),BlankTegn)</f>
        <v>.</v>
      </c>
      <c r="AM51" s="245" t="str">
        <f ca="1">IFERROR(IF(Tidstabel[[#This Row],[År]]&gt;Input_Tidshorisont,BlankTegn,
IF(Tidstabel[[#This Row],[År]]=0,Tidstabel[[#This Row],[KF_Vedligehold]],AM50+Tidstabel[[#This Row],[KF_Vedligehold]])),BlankTegn)</f>
        <v>.</v>
      </c>
      <c r="AN51"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51"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51" s="245" t="str">
        <f>IFERROR(IF(Tidstabel[[#This Row],[År]]&gt;Input_Tidshorisont,BlankTegn,
IF(Tidstabel[[#This Row],[År]]=0,Tidstabel[[#This Row],[KF_Udskiftning_Komponent]],AP50+Tidstabel[[#This Row],[KF_Udskiftning_Komponent]])),BlankTegn)</f>
        <v>.</v>
      </c>
      <c r="AQ51" s="245">
        <f>IF(Tidstabel[[#This Row],[År]]&gt;Input_Tidshorisont,BlankTegn,
IF(Tidstabel[[#This Row],[År]]=0,-SUM(Engangsudgifter[Udgift]),0))</f>
        <v>0</v>
      </c>
      <c r="AR51" s="245">
        <f>IFERROR(IF(Tidstabel[[#This Row],[År]]&gt;Input_Tidshorisont,BlankTegn,
IF(Tidstabel[[#This Row],[År]]=0,Tidstabel[[#This Row],[KF_Engangsudgifter]],AR50+Tidstabel[[#This Row],[KF_Engangsudgifter]])),BlankTegn)</f>
        <v>0</v>
      </c>
      <c r="AS51" s="315" t="str">
        <f>IFERROR(IF(Tidstabel[[#This Row],[År]]&gt;Input_Tidshorisont,BlankTegn,
-Energibesparelse_Årlig),BlankTegn)</f>
        <v>.</v>
      </c>
      <c r="AT51" s="245" t="str">
        <f>IFERROR(IF(Tidstabel[[#This Row],[År]]&gt;Input_Tidshorisont,BlankTegn,
IF(Tidstabel[[#This Row],[År]]=0,0,-Tidstabel[[#This Row],[KF_Energiforbrug]]*Input_Fjernvarmepris*((1+Tidstabel[[#This Row],[Kalkulationsrente]])^-Tidstabel[[#This Row],[År]])*((1+PrisudviklingFjernvarme)^Tidstabel[[#This Row],[År]]))),BlankTegn)</f>
        <v>.</v>
      </c>
      <c r="AU51" s="262" t="str">
        <f>IFERROR(IF(Tidstabel[[#This Row],[År]]&gt;Input_Tidshorisont,BlankTegn,
IF(Tidstabel[[#This Row],[År]]=0,Tidstabel[[#This Row],[KF_Forsyning]],AU50+Tidstabel[[#This Row],[KF_Forsyning]])),BlankTegn)</f>
        <v>.</v>
      </c>
      <c r="AV51" s="245">
        <f>IFERROR(IF(Tidstabel[[#This Row],[År]]&gt;Input_Tidshorisont,BlankTegn,
IF(Tidstabel[[#This Row],[År]]=0,-FB_Enhedspris,0)),BlankTegn)</f>
        <v>0</v>
      </c>
      <c r="AW51" s="245" t="str">
        <f>IFERROR(IF(Tidstabel[[#This Row],[År]]&gt;Input_Tidshorisont,BlankTegn,
IF(Tidstabel[[#This Row],[År]]=0,FB_Enhedspris/FB_Levetid,AW50*((1+Tidstabel[[#This Row],[Kalkulationsrente]])^-1)*((1+PrisudviklingGenerelt)^1))),BlankTegn)</f>
        <v>.</v>
      </c>
      <c r="AX51" s="178" t="str">
        <f ca="1">IFERROR(IF(Tidstabel[[#This Row],[År]]&gt;Input_Tidshorisont,BlankTegn,
IF(FB_Vedligehold_i=1,IF(Tidstabel[[#This Row],[FB_Uds?]]=0,1,0),IF(MAX(AX50:OFFSET(AY50,2-FB_Vedligehold_i,0),Tidstabel[[#This Row],[FB_Uds?]])=0,1,0))),BlankTegn)</f>
        <v>.</v>
      </c>
      <c r="AY51" s="178" t="str">
        <f>IFERROR(IF(Tidstabel[[#This Row],[År]]&gt;Input_Tidshorisont,BlankTegn,
IF(Tidstabel[[#This Row],[År]]=0,1,IF(MOD(Tidstabel[[#This Row],[År]],FB_Levetid)=0,1,IF(Tidstabel[[#This Row],[År]]=Input_Tidshorisont,0,0)))),BlankTegn)</f>
        <v>.</v>
      </c>
      <c r="AZ51" s="245" t="str">
        <f ca="1">IFERROR(IF(Tidstabel[[#This Row],[År]]&gt;Input_Tidshorisont,BlankTegn,
FB_Vedligehold_p*-FB_Enhedspris*Tidstabel[[#This Row],[FB_Ved?]]*((1+Tidstabel[[#This Row],[Kalkulationsrente]])^-Tidstabel[[#This Row],[År]])*((1+PrisudviklingGenerelt)^Tidstabel[[#This Row],[År]])),BlankTegn)</f>
        <v>.</v>
      </c>
      <c r="BA51" s="245" t="str">
        <f>IFERROR(IF(Tidstabel[[#This Row],[År]]&gt;Input_Tidshorisont,BlankTegn,
IF(Tidstabel[[#This Row],[År]]=0,FB_Enhedspris,SUM(BA50:BB50)*((1+Tidstabel[[#This Row],[Kalkulationsrente]])^-1)*((1+PrisudviklingGenerelt)^1)-Tidstabel[[#This Row],[FB_Afskrivning]])),BlankTegn)</f>
        <v>.</v>
      </c>
      <c r="BB51" s="245" t="str">
        <f>IFERROR(IF(Tidstabel[[#This Row],[År]]&gt;Input_Tidshorisont,BlankTegn,
IF(Tidstabel[[#This Row],[År]]=0,0,Tidstabel[[#This Row],[FB_Uds?]]*FB_Enhedspris*((1+Tidstabel[[#This Row],[Kalkulationsrente]])^-Tidstabel[[#This Row],[År]])*((1+PrisudviklingGenerelt)^Tidstabel[[#This Row],[År]]))),BlankTegn)</f>
        <v>.</v>
      </c>
      <c r="BC51" s="262" t="str">
        <f>IFERROR(IF(Tidstabel[[#This Row],[År]]&gt;Input_Tidshorisont,BlankTegn,
IF(Tidstabel[[#This Row],[År]]=0,0,Tidstabel[[#This Row],[FB_Uds?]]*-FB_Enhedspris*FB_Genoprettelse*((1+Tidstabel[[#This Row],[Kalkulationsrente]])^-Tidstabel[[#This Row],[År]])*((1+PrisudviklingGenerelt)^Tidstabel[[#This Row],[År]]))),BlankTegn)</f>
        <v>.</v>
      </c>
      <c r="BD51" s="245">
        <f>IFERROR(IF(Tidstabel[[#This Row],[År]]&gt;Input_Tidshorisont,BlankTegn,
IF(Tidstabel[[#This Row],[År]]=0,-VS_Enhedspris,0)),BlankTegn)</f>
        <v>0</v>
      </c>
      <c r="BE51" s="245" t="str">
        <f>IFERROR(IF(Tidstabel[[#This Row],[År]]&gt;Input_Tidshorisont,BlankTegn,
IF(Tidstabel[[#This Row],[År]]=0,VS_Enhedspris/VS_Levetid,BE50*((1+Tidstabel[[#This Row],[Kalkulationsrente]])^-1)*((1+PrisudviklingGenerelt)^1))),BlankTegn)</f>
        <v>.</v>
      </c>
      <c r="BF51" s="178" t="str">
        <f ca="1">IFERROR(IF(Tidstabel[[#This Row],[År]]&gt;Input_Tidshorisont,BlankTegn,
IF(VS_Vedligehold_i=1,IF(Tidstabel[[#This Row],[VS_Uds?]]=0,1,0),IF(MAX(BF50:OFFSET(BG50,2-VS_Vedligehold_i,0),Tidstabel[[#This Row],[VS_Uds?]])=0,1,0))),BlankTegn)</f>
        <v>.</v>
      </c>
      <c r="BG51" s="178" t="str">
        <f>IFERROR(IF(Tidstabel[[#This Row],[År]]&gt;Input_Tidshorisont,BlankTegn,
IF(Tidstabel[[#This Row],[År]]=0,1,IF(MOD(Tidstabel[[#This Row],[År]],VS_Levetid)=0,1,IF(Tidstabel[[#This Row],[År]]=Input_Tidshorisont,0,0)))),BlankTegn)</f>
        <v>.</v>
      </c>
      <c r="BH51" s="245" t="str">
        <f ca="1">IFERROR(IF(Tidstabel[[#This Row],[År]]&gt;Input_Tidshorisont,BlankTegn,
VS_Vedligehold_p*-VS_Enhedspris*Tidstabel[[#This Row],[VS_Ved?]]*((1+Tidstabel[[#This Row],[Kalkulationsrente]])^-Tidstabel[[#This Row],[År]])*((1+PrisudviklingGenerelt)^Tidstabel[[#This Row],[År]])),BlankTegn)</f>
        <v>.</v>
      </c>
      <c r="BI51" s="245" t="str">
        <f>IFERROR(IF(Tidstabel[[#This Row],[År]]&gt;Input_Tidshorisont,BlankTegn,
IF(Tidstabel[[#This Row],[År]]=0,VS_Enhedspris,SUM(BI50:BJ50)*((1+Tidstabel[[#This Row],[Kalkulationsrente]])^-1)*((1+PrisudviklingGenerelt)^1)-Tidstabel[[#This Row],[VS_Afskrivning]])),BlankTegn)</f>
        <v>.</v>
      </c>
      <c r="BJ51" s="245" t="str">
        <f>IFERROR(IF(Tidstabel[[#This Row],[År]]&gt;Input_Tidshorisont,BlankTegn,
IF(Tidstabel[[#This Row],[År]]=0,0,Tidstabel[[#This Row],[VS_Uds?]]*VS_Enhedspris*((1+Tidstabel[[#This Row],[Kalkulationsrente]])^-Tidstabel[[#This Row],[År]])*((1+PrisudviklingGenerelt)^Tidstabel[[#This Row],[År]]))),BlankTegn)</f>
        <v>.</v>
      </c>
      <c r="BK51" s="262" t="str">
        <f>IFERROR(IF(Tidstabel[[#This Row],[År]]&gt;Input_Tidshorisont,BlankTegn,
IF(Tidstabel[[#This Row],[År]]=0,0,Tidstabel[[#This Row],[VS_Uds?]]*-VS_Enhedspris*VS_Genoprettelse*((1+Tidstabel[[#This Row],[Kalkulationsrente]])^-Tidstabel[[#This Row],[År]])*((1+PrisudviklingGenerelt)^Tidstabel[[#This Row],[År]]))),BlankTegn)</f>
        <v>.</v>
      </c>
      <c r="BL51" s="245">
        <f>IFERROR(IF(Tidstabel[[#This Row],[År]]&gt;Input_Tidshorisont,BlankTegn,
IF(Tidstabel[[#This Row],[År]]=0,-EI_Enhedspris,0)),BlankTegn)</f>
        <v>0</v>
      </c>
      <c r="BM51" s="245" t="str">
        <f>IFERROR(IF(Tidstabel[[#This Row],[År]]&gt;Input_Tidshorisont,BlankTegn,
IF(Tidstabel[[#This Row],[År]]=0,EI_Enhedspris/EI_Levetid,BM50*((1+Tidstabel[[#This Row],[Kalkulationsrente]])^-1)*((1+PrisudviklingGenerelt)^1))),BlankTegn)</f>
        <v>.</v>
      </c>
      <c r="BN51" s="178" t="str">
        <f ca="1">IFERROR(IF(Tidstabel[[#This Row],[År]]&gt;Input_Tidshorisont,BlankTegn,
IF(EI_Vedligehold_i=1,IF(Tidstabel[[#This Row],[EI_Uds?]]=0,1,0),IF(MAX(BN50:OFFSET(BO50,2-EI_Vedligehold_i,0),Tidstabel[[#This Row],[EI_Uds?]])=0,1,0))),BlankTegn)</f>
        <v>.</v>
      </c>
      <c r="BO51" s="178" t="str">
        <f>IFERROR(IF(Tidstabel[[#This Row],[År]]&gt;Input_Tidshorisont,BlankTegn,
IF(Tidstabel[[#This Row],[År]]=0,1,IF(MOD(Tidstabel[[#This Row],[År]],EI_Levetid)=0,1,IF(Tidstabel[[#This Row],[År]]=Input_Tidshorisont,0,0)))),BlankTegn)</f>
        <v>.</v>
      </c>
      <c r="BP51" s="245" t="str">
        <f ca="1">IFERROR(IF(Tidstabel[[#This Row],[År]]&gt;Input_Tidshorisont,BlankTegn,
EI_Vedligehold_p*-EI_Enhedspris*Tidstabel[[#This Row],[EI_Ved?]]*((1+Tidstabel[[#This Row],[Kalkulationsrente]])^-Tidstabel[[#This Row],[År]])*((1+PrisudviklingGenerelt)^Tidstabel[[#This Row],[År]])),BlankTegn)</f>
        <v>.</v>
      </c>
      <c r="BQ51" s="245" t="str">
        <f>IFERROR(IF(Tidstabel[[#This Row],[År]]&gt;Input_Tidshorisont,BlankTegn,
IF(Tidstabel[[#This Row],[År]]=0,EI_Enhedspris,SUM(BQ50:BR50)*((1+Tidstabel[[#This Row],[Kalkulationsrente]])^-1)*((1+PrisudviklingGenerelt)^1)-Tidstabel[[#This Row],[EI_Afskrivning]])),BlankTegn)</f>
        <v>.</v>
      </c>
      <c r="BR51" s="245" t="str">
        <f>IFERROR(IF(Tidstabel[[#This Row],[År]]&gt;Input_Tidshorisont,BlankTegn,
IF(Tidstabel[[#This Row],[År]]=0,0,Tidstabel[[#This Row],[EI_Uds?]]*EI_Enhedspris*((1+Tidstabel[[#This Row],[Kalkulationsrente]])^-Tidstabel[[#This Row],[År]])*((1+PrisudviklingGenerelt)^Tidstabel[[#This Row],[År]]))),BlankTegn)</f>
        <v>.</v>
      </c>
      <c r="BS51" s="262" t="str">
        <f>IFERROR(IF(Tidstabel[[#This Row],[År]]&gt;Input_Tidshorisont,BlankTegn,
IF(Tidstabel[[#This Row],[År]]=0,0,Tidstabel[[#This Row],[EI_Uds?]]*-EI_Enhedspris*EI_Genoprettelse*((1+Tidstabel[[#This Row],[Kalkulationsrente]])^-Tidstabel[[#This Row],[År]])*((1+PrisudviklingGenerelt)^Tidstabel[[#This Row],[År]]))),BlankTegn)</f>
        <v>.</v>
      </c>
      <c r="BT51" s="245">
        <f>IFERROR(IF(Tidstabel[[#This Row],[År]]&gt;Input_Tidshorisont,BlankTegn,
IF(Tidstabel[[#This Row],[År]]=0,-AP_Enhedspris,0)),BlankTegn)</f>
        <v>0</v>
      </c>
      <c r="BU51" s="245" t="str">
        <f>IFERROR(IF(Tidstabel[[#This Row],[År]]&gt;Input_Tidshorisont,BlankTegn,
IF(Tidstabel[[#This Row],[År]]=0,AP_Enhedspris/AP_Levetid,BU50*((1+Tidstabel[[#This Row],[Kalkulationsrente]])^-1)*((1+PrisudviklingGenerelt)^1))),BlankTegn)</f>
        <v>.</v>
      </c>
      <c r="BV51" s="178" t="str">
        <f ca="1">IFERROR(IF(Tidstabel[[#This Row],[År]]&gt;Input_Tidshorisont,BlankTegn,
IF(AP_Vedligehold_i=1,IF(Tidstabel[[#This Row],[AP_Uds?]]=0,1,0),IF(MAX(BV50:OFFSET(BW50,2-AP_Vedligehold_i,0),Tidstabel[[#This Row],[AP_Uds?]])=0,1,0))),BlankTegn)</f>
        <v>.</v>
      </c>
      <c r="BW51" s="178" t="str">
        <f>IFERROR(IF(Tidstabel[[#This Row],[År]]&gt;Input_Tidshorisont,BlankTegn,
IF(Tidstabel[[#This Row],[År]]=0,1,IF(MOD(Tidstabel[[#This Row],[År]],AP_Levetid)=0,1,IF(Tidstabel[[#This Row],[År]]=Input_Tidshorisont,0,0)))),BlankTegn)</f>
        <v>.</v>
      </c>
      <c r="BX51" s="245" t="str">
        <f ca="1">IFERROR(IF(Tidstabel[[#This Row],[År]]&gt;Input_Tidshorisont,BlankTegn,
AP_Vedligehold_p*-AP_Enhedspris*Tidstabel[[#This Row],[AP_Ved?]]*((1+Tidstabel[[#This Row],[Kalkulationsrente]])^-Tidstabel[[#This Row],[År]])*((1+PrisudviklingGenerelt)^Tidstabel[[#This Row],[År]])),BlankTegn)</f>
        <v>.</v>
      </c>
      <c r="BY51" s="245" t="str">
        <f>IFERROR(IF(Tidstabel[[#This Row],[År]]&gt;Input_Tidshorisont,BlankTegn,
IF(Tidstabel[[#This Row],[År]]=0,AP_Enhedspris,SUM(BY50:BZ50)*((1+Tidstabel[[#This Row],[Kalkulationsrente]])^-1)*((1+PrisudviklingGenerelt)^1)-Tidstabel[[#This Row],[AP_Afskrivning]])),BlankTegn)</f>
        <v>.</v>
      </c>
      <c r="BZ51" s="245" t="str">
        <f>IFERROR(IF(Tidstabel[[#This Row],[År]]&gt;Input_Tidshorisont,BlankTegn,
IF(Tidstabel[[#This Row],[År]]=0,0,Tidstabel[[#This Row],[AP_Uds?]]*AP_Enhedspris*((1+Tidstabel[[#This Row],[Kalkulationsrente]])^-Tidstabel[[#This Row],[År]])*((1+PrisudviklingGenerelt)^Tidstabel[[#This Row],[År]]))),BlankTegn)</f>
        <v>.</v>
      </c>
      <c r="CA51" s="262" t="str">
        <f>IFERROR(IF(Tidstabel[[#This Row],[År]]&gt;Input_Tidshorisont,BlankTegn,
IF(Tidstabel[[#This Row],[År]]=0,0,Tidstabel[[#This Row],[AP_Uds?]]*-AP_Enhedspris*AP_Genoprettelse*((1+Tidstabel[[#This Row],[Kalkulationsrente]])^-Tidstabel[[#This Row],[År]])*((1+PrisudviklingGenerelt)^Tidstabel[[#This Row],[År]]))),BlankTegn)</f>
        <v>.</v>
      </c>
      <c r="CB51" s="245">
        <f>IFERROR(IF(Tidstabel[[#This Row],[År]]&gt;Input_Tidshorisont,BlankTegn,
IF(Tidstabel[[#This Row],[År]]=0,-SK_Enhedspris,0)),BlankTegn)</f>
        <v>0</v>
      </c>
      <c r="CC51" s="245" t="str">
        <f>IFERROR(IF(Tidstabel[[#This Row],[År]]&gt;Input_Tidshorisont,BlankTegn,
IF(Tidstabel[[#This Row],[År]]=0,SK_Enhedspris/SK_Levetid,CC50*((1+Tidstabel[[#This Row],[Kalkulationsrente]])^-1)*((1+PrisudviklingGenerelt)^1))),BlankTegn)</f>
        <v>.</v>
      </c>
      <c r="CD51" s="178" t="str">
        <f ca="1">IFERROR(IF(Tidstabel[[#This Row],[År]]&gt;Input_Tidshorisont,BlankTegn,
IF(SK_Vedligehold_i=1,IF(Tidstabel[[#This Row],[SK_Uds?]]=0,1,0),IF(MAX(CD50:OFFSET(CE50,2-SK_Vedligehold_i,0),Tidstabel[[#This Row],[SK_Uds?]])=0,1,0))),BlankTegn)</f>
        <v>.</v>
      </c>
      <c r="CE51" s="178" t="str">
        <f>IFERROR(IF(Tidstabel[[#This Row],[År]]&gt;Input_Tidshorisont,BlankTegn,
IF(Tidstabel[[#This Row],[År]]=0,1,IF(MOD(Tidstabel[[#This Row],[År]],SK_Levetid)=0,1,IF(Tidstabel[[#This Row],[År]]=Input_Tidshorisont,0,0)))),BlankTegn)</f>
        <v>.</v>
      </c>
      <c r="CF51" s="245" t="str">
        <f ca="1">IFERROR(IF(Tidstabel[[#This Row],[År]]&gt;Input_Tidshorisont,BlankTegn,
SK_Vedligehold_p*-SK_Enhedspris*Tidstabel[[#This Row],[SK_Ved?]]*((1+Tidstabel[[#This Row],[Kalkulationsrente]])^-Tidstabel[[#This Row],[År]])*((1+PrisudviklingGenerelt)^Tidstabel[[#This Row],[År]])),BlankTegn)</f>
        <v>.</v>
      </c>
      <c r="CG51" s="245" t="str">
        <f>IFERROR(IF(Tidstabel[[#This Row],[År]]&gt;Input_Tidshorisont,BlankTegn,
IF(Tidstabel[[#This Row],[År]]=0,SK_Enhedspris,SUM(CG50:CH50)*((1+Tidstabel[[#This Row],[Kalkulationsrente]])^-1)*((1+PrisudviklingGenerelt)^1)-Tidstabel[[#This Row],[SK_Afskrivning]])),BlankTegn)</f>
        <v>.</v>
      </c>
      <c r="CH51" s="245" t="str">
        <f>IFERROR(IF(Tidstabel[[#This Row],[År]]&gt;Input_Tidshorisont,BlankTegn,
IF(Tidstabel[[#This Row],[År]]=0,0,Tidstabel[[#This Row],[SK_Uds?]]*SK_Enhedspris*((1+Tidstabel[[#This Row],[Kalkulationsrente]])^-Tidstabel[[#This Row],[År]])*((1+PrisudviklingGenerelt)^Tidstabel[[#This Row],[År]]))),BlankTegn)</f>
        <v>.</v>
      </c>
      <c r="CI51" s="262" t="str">
        <f>IFERROR(IF(Tidstabel[[#This Row],[År]]&gt;Input_Tidshorisont,BlankTegn,
IF(Tidstabel[[#This Row],[År]]=0,0,Tidstabel[[#This Row],[SK_Uds?]]*-SK_Enhedspris*SK_Genoprettelse*((1+Tidstabel[[#This Row],[Kalkulationsrente]])^-Tidstabel[[#This Row],[År]])*((1+PrisudviklingGenerelt)^Tidstabel[[#This Row],[År]]))),BlankTegn)</f>
        <v>.</v>
      </c>
      <c r="CJ51" s="19"/>
    </row>
    <row r="52" spans="1:88">
      <c r="A52" s="250">
        <v>45</v>
      </c>
      <c r="B52" s="250">
        <f>Input_Etableringsår+Tidstabel[[#This Row],[År]]</f>
        <v>2069</v>
      </c>
      <c r="C52" s="274" cm="1">
        <f t="array" ref="C52">_xlfn.IFS(Tidstabel[[#This Row],[År]]&gt;KR_Trin3_Tærskel,KR_Trin3_Rente,Tidstabel[[#This Row],[År]]&gt;KR_Trin2_Tærskel,KR_Trin2_Rente,Tidstabel[[#This Row],[År]]&gt;KR_Trin1_Tærskel,KR_Trin1_Rente,Tidstabel[[#This Row],[År]]&gt;KR_Trin0_Tærskel,KR_Trin0_Rente)</f>
        <v>2.5000000000000001E-2</v>
      </c>
      <c r="D52" s="142" t="str" cm="1">
        <f t="array" ref="D52">IFERROR(
INDEX(Range_Materiale_ÅrligeEmissioner,MATCH(1,(Materialedata[Komponent]=FB_Titel)*(Materialedata[Materiale]=FB_Materiale),0),MATCH(Tidstabel[[#This Row],[År]],Range_Materiale_År,0)),BlankTegn)</f>
        <v>.</v>
      </c>
      <c r="E52" s="142" t="str" cm="1">
        <f t="array" ref="E52">IFERROR(
INDEX(Range_Materiale_ÅrligeEmissioner,MATCH(1,(Materialedata[Komponent]=SK_Titel)*(Materialedata[Materiale]=SK_Materiale),0),MATCH(Tidstabel[[#This Row],[År]],Range_Materiale_År,0)),BlankTegn)</f>
        <v>.</v>
      </c>
      <c r="F52" s="142" t="str" cm="1">
        <f t="array" ref="F52">IFERROR(
INDEX(Range_Materiale_ÅrligeEmissioner,MATCH(1,(Materialedata[Komponent]=EI_Titel)*(Materialedata[Materiale]=EI_Materiale),0),MATCH(Tidstabel[[#This Row],[År]],Range_Materiale_År,0)),BlankTegn)</f>
        <v>.</v>
      </c>
      <c r="G52" s="142" t="str" cm="1">
        <f t="array" ref="G52">IFERROR(
INDEX(Range_Materiale_ÅrligeEmissioner,MATCH(1,(Materialedata[Komponent]=AP_Titel)*(Materialedata[Materiale]=AP_Materiale),0),MATCH(Tidstabel[[#This Row],[År]],Range_Materiale_År,0)),BlankTegn)</f>
        <v>.</v>
      </c>
      <c r="H52" s="142" t="str" cm="1">
        <f t="array" ref="H52">IFERROR(
INDEX(Range_Materiale_ÅrligeEmissioner,MATCH(1,(Materialedata[Komponent]=VS_Titel)*(Materialedata[Materiale]=VS_Materiale),0),MATCH(Tidstabel[[#This Row],[År]],Range_Materiale_År,0)),BlankTegn)</f>
        <v>.</v>
      </c>
      <c r="I52" s="142" t="str">
        <f>IFERROR(
IF(SUM(Tidstabel[[#This Row],[Facadebeklædning]:[Vindspærre]])=0,BlankTegn,
SUM(Tidstabel[[#This Row],[Facadebeklædning]:[Vindspærre]])),BlankTegn)</f>
        <v>.</v>
      </c>
      <c r="J52" s="139">
        <f>IF(Tidstabel[[#This Row],[År]]&gt;Input_Tidshorisont,BlankTegn,
A5_ElVarmeBrændstofByggeplads)</f>
        <v>0.25</v>
      </c>
      <c r="K52" s="142" t="str">
        <f>IFERROR(IF(Tidstabel[[#This Row],[År]]&gt;Input_Tidshorisont,BlankTegn,
-1*INDEX(Range_Energi_ÅrligBesparelse,MATCH(Input_EksisterendeFacade,Energiberegning[Ydervæg],0),MATCH(Tidstabel[[#This Row],[Årstal]],Range_Energi_Årstal,0))),BlankTegn)</f>
        <v>.</v>
      </c>
      <c r="L52" s="142">
        <f>IF(Tidstabel[[#This Row],[År]]&gt;Input_Tidshorisont,BlankTegn,
(Tidstabel[[#This Row],[År]]+1)*(SUM(Vedligeholdelsesmaterialer[Facadefarve],Vedligeholdelsesmaterialer[Grunder og mellemmaling])/12+SUM(Vedligeholdelsesmaterialer[Puds])/30))</f>
        <v>14.943297148333333</v>
      </c>
      <c r="M52" s="142" t="str">
        <f>IFERROR(IF(Tidstabel[[#This Row],[År]]&gt;Input_Tidshorisont,BlankTegn,
Tidstabel[[#This Row],[Materialer_Total]]+Tidstabel[[#This Row],[Byggeprocess]]),BlankTegn)</f>
        <v>.</v>
      </c>
      <c r="N52" s="142" t="str">
        <f>IFERROR(IF(Tidstabel[[#This Row],[År]]&gt;Input_Tidshorisont,BlankTegn,
Tidstabel[[#This Row],[Energibesparelse]]+Tidstabel[[#This Row],[Emission_Brutto]]),BlankTegn)</f>
        <v>.</v>
      </c>
      <c r="O52" s="142" t="str">
        <f>IFERROR(IF(Tidstabel[[#This Row],[År]]&gt;Input_Tidshorisont,BlankTegn,
Tidstabel[[#This Row],[Emission_Netto]]-Tidstabel[[#This Row],[Vedligehold_EksisterendeFacade]]),BlankTegn)</f>
        <v>.</v>
      </c>
      <c r="P52" s="271" t="str">
        <f>IFERROR(IF(Tidstabel[[#This Row],[År]]&gt;Input_Tidshorisont,BlankTegn,
IF(AND(Tidstabel[[#This Row],[Emission_Netto]]-Tidstabel[[#This Row],[Vedligehold_EksisterendeFacade]]&gt;0,N53-L53&lt;0),-1,IF(AND(Tidstabel[[#This Row],[Emission_Netto]]-Tidstabel[[#This Row],[Vedligehold_EksisterendeFacade]]&lt;0,N53-L53&gt;0),1,0))),BlankTegn)</f>
        <v>.</v>
      </c>
      <c r="Q52" s="174" t="str">
        <f>IF(Tidstabel[[#This Row],[År]]&gt;Input_Tidshorisont,BlankTegn,
IF(Tidstabel[[#This Row],[LCA-Skæring]]=-1,SUM(Tidstabel[[#This Row],[År]]*(1-ABS(Tidstabel[[#This Row],[LCA-Difference]])/(ABS(Tidstabel[[#This Row],[LCA-Difference]])+ABS(O53))),A53*(1-ABS(O53)/(ABS(Tidstabel[[#This Row],[LCA-Difference]])+ABS(O53)))),"-"))</f>
        <v>-</v>
      </c>
      <c r="R52" s="174" t="str">
        <f>IF(Tidstabel[[#This Row],[År]]&gt;Input_Tidshorisont,BlankTegn,
IF(Tidstabel[[#This Row],[LCA-Skæring]]=-1,SUM(Tidstabel[[#This Row],[Emission_Netto]]*(1-ABS(Tidstabel[[#This Row],[LCA-Difference]])/(ABS(Tidstabel[[#This Row],[LCA-Difference]])+ABS(O53))),N53*(1-ABS(O53)/(ABS(Tidstabel[[#This Row],[LCA-Difference]])+ABS(O53)))),"-"))</f>
        <v>-</v>
      </c>
      <c r="S52" s="174" t="str">
        <f>IF(Tidstabel[[#This Row],[År]]&gt;Input_Tidshorisont,BlankTegn,
IF(Tidstabel[[#This Row],[LCA-Skæring]]=1,SUM(Tidstabel[[#This Row],[År]]*(1-ABS(Tidstabel[[#This Row],[LCA-Difference]])/(ABS(Tidstabel[[#This Row],[LCA-Difference]])+ABS(O53))),A53*(1-ABS(O53)/(ABS(Tidstabel[[#This Row],[LCA-Difference]])+ABS(O53)))),"-"))</f>
        <v>-</v>
      </c>
      <c r="T52" s="264" t="str">
        <f>IF(Tidstabel[[#This Row],[År]]&gt;Input_Tidshorisont,BlankTegn,
IF(Tidstabel[[#This Row],[LCA-Skæring]]=1,SUM(Tidstabel[[#This Row],[Emission_Netto]]*(1-ABS(Tidstabel[[#This Row],[LCA-Difference]])/(ABS(Tidstabel[[#This Row],[LCA-Difference]])+ABS(O53))),N53*(1-ABS(O53)/(ABS(Tidstabel[[#This Row],[LCA-Difference]])+ABS(O53)))),"-"))</f>
        <v>-</v>
      </c>
      <c r="U52" s="142" t="str">
        <f ca="1">IFERROR(IF(Tidstabel[[#This Row],[År]]&gt;Input_Tidshorisont,BlankTegn,
Tidstabel[[#This Row],[NPV_Klimafacade]]-Tidstabel[[#This Row],[NPV_Eksisterende]]),BlankTegn)</f>
        <v>.</v>
      </c>
      <c r="V52" s="271" t="str">
        <f ca="1">IFERROR(IF(Tidstabel[[#This Row],[År]]&gt;Input_Tidshorisont,BlankTegn,
IF(AND(Tidstabel[[#This Row],[NPV_Klimafacade]]-Tidstabel[[#This Row],[NPV_Eksisterende]]&gt;0,AB53-AA53&lt;0),1,IF(AND(Tidstabel[[#This Row],[NPV_Klimafacade]]-Tidstabel[[#This Row],[NPV_Eksisterende]]&lt;0,AB53-AA53&gt;0),-1,0))),BlankTegn)</f>
        <v>.</v>
      </c>
      <c r="W52" s="174" t="str">
        <f ca="1">IF(Tidstabel[[#This Row],[År]]&gt;Input_Tidshorisont,BlankTegn,
IF(Tidstabel[[#This Row],[LCC-Skæring]]=-1,SUM(Tidstabel[[#This Row],[År]]*(1-ABS(Tidstabel[[#This Row],[LCC-Difference]])/(ABS(Tidstabel[[#This Row],[LCC-Difference]])+ABS(U53))),A53*(1-ABS(U53)/(ABS(Tidstabel[[#This Row],[LCC-Difference]])+ABS(U53)))),"-"))</f>
        <v>-</v>
      </c>
      <c r="X52" s="174" t="str">
        <f ca="1">IF(Tidstabel[[#This Row],[År]]&gt;Input_Tidshorisont,BlankTegn,
IF(Tidstabel[[#This Row],[LCC-Skæring]]=-1,SUM(Tidstabel[[#This Row],[NPV_Klimafacade]]*(1-ABS(Tidstabel[[#This Row],[LCC-Difference]])/(ABS(Tidstabel[[#This Row],[LCC-Difference]])+ABS(U53))),AB53*(1-ABS(U53)/(ABS(Tidstabel[[#This Row],[LCC-Difference]])+ABS(U53)))),"-"))</f>
        <v>-</v>
      </c>
      <c r="Y52" s="174" t="str">
        <f ca="1">IF(Tidstabel[[#This Row],[År]]&gt;Input_Tidshorisont,BlankTegn,
IF(Tidstabel[[#This Row],[LCC-Skæring]]=1,SUM(Tidstabel[[#This Row],[År]]*(1-ABS(Tidstabel[[#This Row],[LCC-Difference]])/(ABS(Tidstabel[[#This Row],[LCC-Difference]])+ABS(U53))),A53*(1-ABS(U53)/(ABS(Tidstabel[[#This Row],[LCC-Difference]])+ABS(U53)))),"-"))</f>
        <v>-</v>
      </c>
      <c r="Z52" s="264" t="str">
        <f ca="1">IF(Tidstabel[[#This Row],[År]]&gt;Input_Tidshorisont,BlankTegn,
IF(Tidstabel[[#This Row],[LCC-Skæring]]=1,SUM(Tidstabel[[#This Row],[NPV_Klimafacade]]*(1-ABS(Tidstabel[[#This Row],[LCC-Difference]])/(ABS(Tidstabel[[#This Row],[LCC-Difference]])+ABS(U53))),AB53*(1-ABS(U53)/(ABS(Tidstabel[[#This Row],[LCC-Difference]])+ABS(U53)))),"-"))</f>
        <v>-</v>
      </c>
      <c r="AA52" s="142">
        <f ca="1">IF(Tidstabel[[#This Row],[År]]&gt;Input_Tidshorisont,BlankTegn,
Tidstabel[[#This Row],[EF_Vedligehold_Aggregeret]])</f>
        <v>-262.89044082998311</v>
      </c>
      <c r="AB52"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52" s="142" t="str">
        <f>IFERROR(IF(Tidstabel[[#This Row],[År]]&gt;Input_Tidshorisont,BlankTegn,
Tidstabel[[#This Row],[KF_Anskaffelse_Aggregeret]]+Tidstabel[[#This Row],[KF_Engangsudgifter_Aggregeret]]),BlankTegn)</f>
        <v>.</v>
      </c>
      <c r="AD52" s="174">
        <f ca="1">IFERROR(IF(Tidstabel[[#This Row],[År]]&gt;Input_Tidshorisont,BlankTegn,
IF(Tidstabel[[#This Row],[År]]=0,0,Tidstabel[[#This Row],[NPV_Eksisterende]]*(Tidstabel[[#This Row],[Kalkulationsrente]]/(1-(1+Tidstabel[[#This Row],[Kalkulationsrente]])^-Tidstabel[[#This Row],[År]])))),BlankTegn)</f>
        <v>-9.7972722805230195</v>
      </c>
      <c r="AE52" s="264" t="str">
        <f ca="1">IFERROR(IF(Tidstabel[[#This Row],[År]]&gt;Input_Tidshorisont,BlankTegn,
IF(Tidstabel[[#This Row],[År]]=0,0,Tidstabel[[#This Row],[NPV_Klimafacade]]*(Tidstabel[[#This Row],[Kalkulationsrente]]/(1-(1+Tidstabel[[#This Row],[Kalkulationsrente]])^-Tidstabel[[#This Row],[År]])))),BlankTegn)</f>
        <v>.</v>
      </c>
      <c r="AF52" s="270">
        <f ca="1">IF(Tidstabel[[#This Row],[År]]&gt;Input_Tidshorisont,BlankTegn,
IF(EF_Vedligehold_i=1,IF(Tidstabel[[#This Row],[EF_Uds?]]=0,1,0),IF(MAX(AF51:OFFSET(AG51,2-EF_Vedligehold_i,0),Tidstabel[[#This Row],[EF_Uds?]])=0,1,0)))</f>
        <v>1</v>
      </c>
      <c r="AG52" s="181">
        <f>IF(Tidstabel[[#This Row],[År]]&gt;Input_Tidshorisont,BlankTegn,0)</f>
        <v>0</v>
      </c>
      <c r="AH52" s="263">
        <f ca="1">IF(Tidstabel[[#This Row],[År]]&gt;Input_Tidshorisont,BlankTegn,
Tidstabel[[#This Row],[EF_Ved?]]*EF_Vedligehold_p*-EF_Enhedspris*((1+Tidstabel[[#This Row],[Kalkulationsrente]])^-Tidstabel[[#This Row],[År]])*((1+PrisudviklingGenerelt)^Tidstabel[[#This Row],[År]]))</f>
        <v>-3.5051423660173451</v>
      </c>
      <c r="AI52" s="262">
        <f ca="1">IF(Tidstabel[[#This Row],[År]]&gt;Input_Tidshorisont,BlankTegn,
IF(Tidstabel[[#This Row],[År]]=0,Tidstabel[[#This Row],[EF_Vedligehold]],AI51+Tidstabel[[#This Row],[EF_Vedligehold]]))</f>
        <v>-262.89044082998311</v>
      </c>
      <c r="AJ52" s="245">
        <f>IFERROR(IF(Tidstabel[[#This Row],[År]]&gt;Input_Tidshorisont,BlankTegn,
Tidstabel[[#This Row],[FB_Anskaffelse]]+Tidstabel[[#This Row],[VS_Anskaffelse]]+Tidstabel[[#This Row],[EI_Anskaffelse]]+Tidstabel[[#This Row],[AP_Anskaffelse]]+Tidstabel[[#This Row],[SK_Anskaffelse]]),BlankTegn)</f>
        <v>0</v>
      </c>
      <c r="AK52" s="245" t="str">
        <f>IFERROR(IF(Tidstabel[[#This Row],[År]]&gt;Input_Tidshorisont,BlankTegn,
IF(Tidstabel[[#This Row],[År]]=0,Tidstabel[[#This Row],[KF_Anskaffelse]],AK51+Tidstabel[[#This Row],[KF_Anskaffelse]])),BlankTegn)</f>
        <v>.</v>
      </c>
      <c r="AL52" s="246" t="str">
        <f ca="1">IFERROR(IF(Tidstabel[[#This Row],[År]]&gt;Input_Tidshorisont,BlankTegn,
Tidstabel[[#This Row],[FB_Vedligehold]]+Tidstabel[[#This Row],[VS_Vedligehold]]+Tidstabel[[#This Row],[EI_Vedligehold]]+Tidstabel[[#This Row],[AP_Vedligehold]]+Tidstabel[[#This Row],[SK_Vedligehold]]),BlankTegn)</f>
        <v>.</v>
      </c>
      <c r="AM52" s="245" t="str">
        <f ca="1">IFERROR(IF(Tidstabel[[#This Row],[År]]&gt;Input_Tidshorisont,BlankTegn,
IF(Tidstabel[[#This Row],[År]]=0,Tidstabel[[#This Row],[KF_Vedligehold]],AM51+Tidstabel[[#This Row],[KF_Vedligehold]])),BlankTegn)</f>
        <v>.</v>
      </c>
      <c r="AN52"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52"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52" s="245" t="str">
        <f>IFERROR(IF(Tidstabel[[#This Row],[År]]&gt;Input_Tidshorisont,BlankTegn,
IF(Tidstabel[[#This Row],[År]]=0,Tidstabel[[#This Row],[KF_Udskiftning_Komponent]],AP51+Tidstabel[[#This Row],[KF_Udskiftning_Komponent]])),BlankTegn)</f>
        <v>.</v>
      </c>
      <c r="AQ52" s="245">
        <f>IF(Tidstabel[[#This Row],[År]]&gt;Input_Tidshorisont,BlankTegn,
IF(Tidstabel[[#This Row],[År]]=0,-SUM(Engangsudgifter[Udgift]),0))</f>
        <v>0</v>
      </c>
      <c r="AR52" s="245">
        <f>IFERROR(IF(Tidstabel[[#This Row],[År]]&gt;Input_Tidshorisont,BlankTegn,
IF(Tidstabel[[#This Row],[År]]=0,Tidstabel[[#This Row],[KF_Engangsudgifter]],AR51+Tidstabel[[#This Row],[KF_Engangsudgifter]])),BlankTegn)</f>
        <v>0</v>
      </c>
      <c r="AS52" s="315" t="str">
        <f>IFERROR(IF(Tidstabel[[#This Row],[År]]&gt;Input_Tidshorisont,BlankTegn,
-Energibesparelse_Årlig),BlankTegn)</f>
        <v>.</v>
      </c>
      <c r="AT52" s="245" t="str">
        <f>IFERROR(IF(Tidstabel[[#This Row],[År]]&gt;Input_Tidshorisont,BlankTegn,
IF(Tidstabel[[#This Row],[År]]=0,0,-Tidstabel[[#This Row],[KF_Energiforbrug]]*Input_Fjernvarmepris*((1+Tidstabel[[#This Row],[Kalkulationsrente]])^-Tidstabel[[#This Row],[År]])*((1+PrisudviklingFjernvarme)^Tidstabel[[#This Row],[År]]))),BlankTegn)</f>
        <v>.</v>
      </c>
      <c r="AU52" s="262" t="str">
        <f>IFERROR(IF(Tidstabel[[#This Row],[År]]&gt;Input_Tidshorisont,BlankTegn,
IF(Tidstabel[[#This Row],[År]]=0,Tidstabel[[#This Row],[KF_Forsyning]],AU51+Tidstabel[[#This Row],[KF_Forsyning]])),BlankTegn)</f>
        <v>.</v>
      </c>
      <c r="AV52" s="245">
        <f>IFERROR(IF(Tidstabel[[#This Row],[År]]&gt;Input_Tidshorisont,BlankTegn,
IF(Tidstabel[[#This Row],[År]]=0,-FB_Enhedspris,0)),BlankTegn)</f>
        <v>0</v>
      </c>
      <c r="AW52" s="245" t="str">
        <f>IFERROR(IF(Tidstabel[[#This Row],[År]]&gt;Input_Tidshorisont,BlankTegn,
IF(Tidstabel[[#This Row],[År]]=0,FB_Enhedspris/FB_Levetid,AW51*((1+Tidstabel[[#This Row],[Kalkulationsrente]])^-1)*((1+PrisudviklingGenerelt)^1))),BlankTegn)</f>
        <v>.</v>
      </c>
      <c r="AX52" s="178" t="str">
        <f ca="1">IFERROR(IF(Tidstabel[[#This Row],[År]]&gt;Input_Tidshorisont,BlankTegn,
IF(FB_Vedligehold_i=1,IF(Tidstabel[[#This Row],[FB_Uds?]]=0,1,0),IF(MAX(AX51:OFFSET(AY51,2-FB_Vedligehold_i,0),Tidstabel[[#This Row],[FB_Uds?]])=0,1,0))),BlankTegn)</f>
        <v>.</v>
      </c>
      <c r="AY52" s="178" t="str">
        <f>IFERROR(IF(Tidstabel[[#This Row],[År]]&gt;Input_Tidshorisont,BlankTegn,
IF(Tidstabel[[#This Row],[År]]=0,1,IF(MOD(Tidstabel[[#This Row],[År]],FB_Levetid)=0,1,IF(Tidstabel[[#This Row],[År]]=Input_Tidshorisont,0,0)))),BlankTegn)</f>
        <v>.</v>
      </c>
      <c r="AZ52" s="245" t="str">
        <f ca="1">IFERROR(IF(Tidstabel[[#This Row],[År]]&gt;Input_Tidshorisont,BlankTegn,
FB_Vedligehold_p*-FB_Enhedspris*Tidstabel[[#This Row],[FB_Ved?]]*((1+Tidstabel[[#This Row],[Kalkulationsrente]])^-Tidstabel[[#This Row],[År]])*((1+PrisudviklingGenerelt)^Tidstabel[[#This Row],[År]])),BlankTegn)</f>
        <v>.</v>
      </c>
      <c r="BA52" s="245" t="str">
        <f>IFERROR(IF(Tidstabel[[#This Row],[År]]&gt;Input_Tidshorisont,BlankTegn,
IF(Tidstabel[[#This Row],[År]]=0,FB_Enhedspris,SUM(BA51:BB51)*((1+Tidstabel[[#This Row],[Kalkulationsrente]])^-1)*((1+PrisudviklingGenerelt)^1)-Tidstabel[[#This Row],[FB_Afskrivning]])),BlankTegn)</f>
        <v>.</v>
      </c>
      <c r="BB52" s="245" t="str">
        <f>IFERROR(IF(Tidstabel[[#This Row],[År]]&gt;Input_Tidshorisont,BlankTegn,
IF(Tidstabel[[#This Row],[År]]=0,0,Tidstabel[[#This Row],[FB_Uds?]]*FB_Enhedspris*((1+Tidstabel[[#This Row],[Kalkulationsrente]])^-Tidstabel[[#This Row],[År]])*((1+PrisudviklingGenerelt)^Tidstabel[[#This Row],[År]]))),BlankTegn)</f>
        <v>.</v>
      </c>
      <c r="BC52" s="262" t="str">
        <f>IFERROR(IF(Tidstabel[[#This Row],[År]]&gt;Input_Tidshorisont,BlankTegn,
IF(Tidstabel[[#This Row],[År]]=0,0,Tidstabel[[#This Row],[FB_Uds?]]*-FB_Enhedspris*FB_Genoprettelse*((1+Tidstabel[[#This Row],[Kalkulationsrente]])^-Tidstabel[[#This Row],[År]])*((1+PrisudviklingGenerelt)^Tidstabel[[#This Row],[År]]))),BlankTegn)</f>
        <v>.</v>
      </c>
      <c r="BD52" s="245">
        <f>IFERROR(IF(Tidstabel[[#This Row],[År]]&gt;Input_Tidshorisont,BlankTegn,
IF(Tidstabel[[#This Row],[År]]=0,-VS_Enhedspris,0)),BlankTegn)</f>
        <v>0</v>
      </c>
      <c r="BE52" s="245" t="str">
        <f>IFERROR(IF(Tidstabel[[#This Row],[År]]&gt;Input_Tidshorisont,BlankTegn,
IF(Tidstabel[[#This Row],[År]]=0,VS_Enhedspris/VS_Levetid,BE51*((1+Tidstabel[[#This Row],[Kalkulationsrente]])^-1)*((1+PrisudviklingGenerelt)^1))),BlankTegn)</f>
        <v>.</v>
      </c>
      <c r="BF52" s="178" t="str">
        <f ca="1">IFERROR(IF(Tidstabel[[#This Row],[År]]&gt;Input_Tidshorisont,BlankTegn,
IF(VS_Vedligehold_i=1,IF(Tidstabel[[#This Row],[VS_Uds?]]=0,1,0),IF(MAX(BF51:OFFSET(BG51,2-VS_Vedligehold_i,0),Tidstabel[[#This Row],[VS_Uds?]])=0,1,0))),BlankTegn)</f>
        <v>.</v>
      </c>
      <c r="BG52" s="178" t="str">
        <f>IFERROR(IF(Tidstabel[[#This Row],[År]]&gt;Input_Tidshorisont,BlankTegn,
IF(Tidstabel[[#This Row],[År]]=0,1,IF(MOD(Tidstabel[[#This Row],[År]],VS_Levetid)=0,1,IF(Tidstabel[[#This Row],[År]]=Input_Tidshorisont,0,0)))),BlankTegn)</f>
        <v>.</v>
      </c>
      <c r="BH52" s="245" t="str">
        <f ca="1">IFERROR(IF(Tidstabel[[#This Row],[År]]&gt;Input_Tidshorisont,BlankTegn,
VS_Vedligehold_p*-VS_Enhedspris*Tidstabel[[#This Row],[VS_Ved?]]*((1+Tidstabel[[#This Row],[Kalkulationsrente]])^-Tidstabel[[#This Row],[År]])*((1+PrisudviklingGenerelt)^Tidstabel[[#This Row],[År]])),BlankTegn)</f>
        <v>.</v>
      </c>
      <c r="BI52" s="245" t="str">
        <f>IFERROR(IF(Tidstabel[[#This Row],[År]]&gt;Input_Tidshorisont,BlankTegn,
IF(Tidstabel[[#This Row],[År]]=0,VS_Enhedspris,SUM(BI51:BJ51)*((1+Tidstabel[[#This Row],[Kalkulationsrente]])^-1)*((1+PrisudviklingGenerelt)^1)-Tidstabel[[#This Row],[VS_Afskrivning]])),BlankTegn)</f>
        <v>.</v>
      </c>
      <c r="BJ52" s="245" t="str">
        <f>IFERROR(IF(Tidstabel[[#This Row],[År]]&gt;Input_Tidshorisont,BlankTegn,
IF(Tidstabel[[#This Row],[År]]=0,0,Tidstabel[[#This Row],[VS_Uds?]]*VS_Enhedspris*((1+Tidstabel[[#This Row],[Kalkulationsrente]])^-Tidstabel[[#This Row],[År]])*((1+PrisudviklingGenerelt)^Tidstabel[[#This Row],[År]]))),BlankTegn)</f>
        <v>.</v>
      </c>
      <c r="BK52" s="262" t="str">
        <f>IFERROR(IF(Tidstabel[[#This Row],[År]]&gt;Input_Tidshorisont,BlankTegn,
IF(Tidstabel[[#This Row],[År]]=0,0,Tidstabel[[#This Row],[VS_Uds?]]*-VS_Enhedspris*VS_Genoprettelse*((1+Tidstabel[[#This Row],[Kalkulationsrente]])^-Tidstabel[[#This Row],[År]])*((1+PrisudviklingGenerelt)^Tidstabel[[#This Row],[År]]))),BlankTegn)</f>
        <v>.</v>
      </c>
      <c r="BL52" s="245">
        <f>IFERROR(IF(Tidstabel[[#This Row],[År]]&gt;Input_Tidshorisont,BlankTegn,
IF(Tidstabel[[#This Row],[År]]=0,-EI_Enhedspris,0)),BlankTegn)</f>
        <v>0</v>
      </c>
      <c r="BM52" s="245" t="str">
        <f>IFERROR(IF(Tidstabel[[#This Row],[År]]&gt;Input_Tidshorisont,BlankTegn,
IF(Tidstabel[[#This Row],[År]]=0,EI_Enhedspris/EI_Levetid,BM51*((1+Tidstabel[[#This Row],[Kalkulationsrente]])^-1)*((1+PrisudviklingGenerelt)^1))),BlankTegn)</f>
        <v>.</v>
      </c>
      <c r="BN52" s="178" t="str">
        <f ca="1">IFERROR(IF(Tidstabel[[#This Row],[År]]&gt;Input_Tidshorisont,BlankTegn,
IF(EI_Vedligehold_i=1,IF(Tidstabel[[#This Row],[EI_Uds?]]=0,1,0),IF(MAX(BN51:OFFSET(BO51,2-EI_Vedligehold_i,0),Tidstabel[[#This Row],[EI_Uds?]])=0,1,0))),BlankTegn)</f>
        <v>.</v>
      </c>
      <c r="BO52" s="178" t="str">
        <f>IFERROR(IF(Tidstabel[[#This Row],[År]]&gt;Input_Tidshorisont,BlankTegn,
IF(Tidstabel[[#This Row],[År]]=0,1,IF(MOD(Tidstabel[[#This Row],[År]],EI_Levetid)=0,1,IF(Tidstabel[[#This Row],[År]]=Input_Tidshorisont,0,0)))),BlankTegn)</f>
        <v>.</v>
      </c>
      <c r="BP52" s="245" t="str">
        <f ca="1">IFERROR(IF(Tidstabel[[#This Row],[År]]&gt;Input_Tidshorisont,BlankTegn,
EI_Vedligehold_p*-EI_Enhedspris*Tidstabel[[#This Row],[EI_Ved?]]*((1+Tidstabel[[#This Row],[Kalkulationsrente]])^-Tidstabel[[#This Row],[År]])*((1+PrisudviklingGenerelt)^Tidstabel[[#This Row],[År]])),BlankTegn)</f>
        <v>.</v>
      </c>
      <c r="BQ52" s="245" t="str">
        <f>IFERROR(IF(Tidstabel[[#This Row],[År]]&gt;Input_Tidshorisont,BlankTegn,
IF(Tidstabel[[#This Row],[År]]=0,EI_Enhedspris,SUM(BQ51:BR51)*((1+Tidstabel[[#This Row],[Kalkulationsrente]])^-1)*((1+PrisudviklingGenerelt)^1)-Tidstabel[[#This Row],[EI_Afskrivning]])),BlankTegn)</f>
        <v>.</v>
      </c>
      <c r="BR52" s="245" t="str">
        <f>IFERROR(IF(Tidstabel[[#This Row],[År]]&gt;Input_Tidshorisont,BlankTegn,
IF(Tidstabel[[#This Row],[År]]=0,0,Tidstabel[[#This Row],[EI_Uds?]]*EI_Enhedspris*((1+Tidstabel[[#This Row],[Kalkulationsrente]])^-Tidstabel[[#This Row],[År]])*((1+PrisudviklingGenerelt)^Tidstabel[[#This Row],[År]]))),BlankTegn)</f>
        <v>.</v>
      </c>
      <c r="BS52" s="262" t="str">
        <f>IFERROR(IF(Tidstabel[[#This Row],[År]]&gt;Input_Tidshorisont,BlankTegn,
IF(Tidstabel[[#This Row],[År]]=0,0,Tidstabel[[#This Row],[EI_Uds?]]*-EI_Enhedspris*EI_Genoprettelse*((1+Tidstabel[[#This Row],[Kalkulationsrente]])^-Tidstabel[[#This Row],[År]])*((1+PrisudviklingGenerelt)^Tidstabel[[#This Row],[År]]))),BlankTegn)</f>
        <v>.</v>
      </c>
      <c r="BT52" s="245">
        <f>IFERROR(IF(Tidstabel[[#This Row],[År]]&gt;Input_Tidshorisont,BlankTegn,
IF(Tidstabel[[#This Row],[År]]=0,-AP_Enhedspris,0)),BlankTegn)</f>
        <v>0</v>
      </c>
      <c r="BU52" s="245" t="str">
        <f>IFERROR(IF(Tidstabel[[#This Row],[År]]&gt;Input_Tidshorisont,BlankTegn,
IF(Tidstabel[[#This Row],[År]]=0,AP_Enhedspris/AP_Levetid,BU51*((1+Tidstabel[[#This Row],[Kalkulationsrente]])^-1)*((1+PrisudviklingGenerelt)^1))),BlankTegn)</f>
        <v>.</v>
      </c>
      <c r="BV52" s="178" t="str">
        <f ca="1">IFERROR(IF(Tidstabel[[#This Row],[År]]&gt;Input_Tidshorisont,BlankTegn,
IF(AP_Vedligehold_i=1,IF(Tidstabel[[#This Row],[AP_Uds?]]=0,1,0),IF(MAX(BV51:OFFSET(BW51,2-AP_Vedligehold_i,0),Tidstabel[[#This Row],[AP_Uds?]])=0,1,0))),BlankTegn)</f>
        <v>.</v>
      </c>
      <c r="BW52" s="178" t="str">
        <f>IFERROR(IF(Tidstabel[[#This Row],[År]]&gt;Input_Tidshorisont,BlankTegn,
IF(Tidstabel[[#This Row],[År]]=0,1,IF(MOD(Tidstabel[[#This Row],[År]],AP_Levetid)=0,1,IF(Tidstabel[[#This Row],[År]]=Input_Tidshorisont,0,0)))),BlankTegn)</f>
        <v>.</v>
      </c>
      <c r="BX52" s="245" t="str">
        <f ca="1">IFERROR(IF(Tidstabel[[#This Row],[År]]&gt;Input_Tidshorisont,BlankTegn,
AP_Vedligehold_p*-AP_Enhedspris*Tidstabel[[#This Row],[AP_Ved?]]*((1+Tidstabel[[#This Row],[Kalkulationsrente]])^-Tidstabel[[#This Row],[År]])*((1+PrisudviklingGenerelt)^Tidstabel[[#This Row],[År]])),BlankTegn)</f>
        <v>.</v>
      </c>
      <c r="BY52" s="245" t="str">
        <f>IFERROR(IF(Tidstabel[[#This Row],[År]]&gt;Input_Tidshorisont,BlankTegn,
IF(Tidstabel[[#This Row],[År]]=0,AP_Enhedspris,SUM(BY51:BZ51)*((1+Tidstabel[[#This Row],[Kalkulationsrente]])^-1)*((1+PrisudviklingGenerelt)^1)-Tidstabel[[#This Row],[AP_Afskrivning]])),BlankTegn)</f>
        <v>.</v>
      </c>
      <c r="BZ52" s="245" t="str">
        <f>IFERROR(IF(Tidstabel[[#This Row],[År]]&gt;Input_Tidshorisont,BlankTegn,
IF(Tidstabel[[#This Row],[År]]=0,0,Tidstabel[[#This Row],[AP_Uds?]]*AP_Enhedspris*((1+Tidstabel[[#This Row],[Kalkulationsrente]])^-Tidstabel[[#This Row],[År]])*((1+PrisudviklingGenerelt)^Tidstabel[[#This Row],[År]]))),BlankTegn)</f>
        <v>.</v>
      </c>
      <c r="CA52" s="262" t="str">
        <f>IFERROR(IF(Tidstabel[[#This Row],[År]]&gt;Input_Tidshorisont,BlankTegn,
IF(Tidstabel[[#This Row],[År]]=0,0,Tidstabel[[#This Row],[AP_Uds?]]*-AP_Enhedspris*AP_Genoprettelse*((1+Tidstabel[[#This Row],[Kalkulationsrente]])^-Tidstabel[[#This Row],[År]])*((1+PrisudviklingGenerelt)^Tidstabel[[#This Row],[År]]))),BlankTegn)</f>
        <v>.</v>
      </c>
      <c r="CB52" s="245">
        <f>IFERROR(IF(Tidstabel[[#This Row],[År]]&gt;Input_Tidshorisont,BlankTegn,
IF(Tidstabel[[#This Row],[År]]=0,-SK_Enhedspris,0)),BlankTegn)</f>
        <v>0</v>
      </c>
      <c r="CC52" s="245" t="str">
        <f>IFERROR(IF(Tidstabel[[#This Row],[År]]&gt;Input_Tidshorisont,BlankTegn,
IF(Tidstabel[[#This Row],[År]]=0,SK_Enhedspris/SK_Levetid,CC51*((1+Tidstabel[[#This Row],[Kalkulationsrente]])^-1)*((1+PrisudviklingGenerelt)^1))),BlankTegn)</f>
        <v>.</v>
      </c>
      <c r="CD52" s="178" t="str">
        <f ca="1">IFERROR(IF(Tidstabel[[#This Row],[År]]&gt;Input_Tidshorisont,BlankTegn,
IF(SK_Vedligehold_i=1,IF(Tidstabel[[#This Row],[SK_Uds?]]=0,1,0),IF(MAX(CD51:OFFSET(CE51,2-SK_Vedligehold_i,0),Tidstabel[[#This Row],[SK_Uds?]])=0,1,0))),BlankTegn)</f>
        <v>.</v>
      </c>
      <c r="CE52" s="178" t="str">
        <f>IFERROR(IF(Tidstabel[[#This Row],[År]]&gt;Input_Tidshorisont,BlankTegn,
IF(Tidstabel[[#This Row],[År]]=0,1,IF(MOD(Tidstabel[[#This Row],[År]],SK_Levetid)=0,1,IF(Tidstabel[[#This Row],[År]]=Input_Tidshorisont,0,0)))),BlankTegn)</f>
        <v>.</v>
      </c>
      <c r="CF52" s="245" t="str">
        <f ca="1">IFERROR(IF(Tidstabel[[#This Row],[År]]&gt;Input_Tidshorisont,BlankTegn,
SK_Vedligehold_p*-SK_Enhedspris*Tidstabel[[#This Row],[SK_Ved?]]*((1+Tidstabel[[#This Row],[Kalkulationsrente]])^-Tidstabel[[#This Row],[År]])*((1+PrisudviklingGenerelt)^Tidstabel[[#This Row],[År]])),BlankTegn)</f>
        <v>.</v>
      </c>
      <c r="CG52" s="245" t="str">
        <f>IFERROR(IF(Tidstabel[[#This Row],[År]]&gt;Input_Tidshorisont,BlankTegn,
IF(Tidstabel[[#This Row],[År]]=0,SK_Enhedspris,SUM(CG51:CH51)*((1+Tidstabel[[#This Row],[Kalkulationsrente]])^-1)*((1+PrisudviklingGenerelt)^1)-Tidstabel[[#This Row],[SK_Afskrivning]])),BlankTegn)</f>
        <v>.</v>
      </c>
      <c r="CH52" s="245" t="str">
        <f>IFERROR(IF(Tidstabel[[#This Row],[År]]&gt;Input_Tidshorisont,BlankTegn,
IF(Tidstabel[[#This Row],[År]]=0,0,Tidstabel[[#This Row],[SK_Uds?]]*SK_Enhedspris*((1+Tidstabel[[#This Row],[Kalkulationsrente]])^-Tidstabel[[#This Row],[År]])*((1+PrisudviklingGenerelt)^Tidstabel[[#This Row],[År]]))),BlankTegn)</f>
        <v>.</v>
      </c>
      <c r="CI52" s="262" t="str">
        <f>IFERROR(IF(Tidstabel[[#This Row],[År]]&gt;Input_Tidshorisont,BlankTegn,
IF(Tidstabel[[#This Row],[År]]=0,0,Tidstabel[[#This Row],[SK_Uds?]]*-SK_Enhedspris*SK_Genoprettelse*((1+Tidstabel[[#This Row],[Kalkulationsrente]])^-Tidstabel[[#This Row],[År]])*((1+PrisudviklingGenerelt)^Tidstabel[[#This Row],[År]]))),BlankTegn)</f>
        <v>.</v>
      </c>
      <c r="CJ52" s="19"/>
    </row>
    <row r="53" spans="1:88">
      <c r="A53" s="250">
        <v>46</v>
      </c>
      <c r="B53" s="250">
        <f>Input_Etableringsår+Tidstabel[[#This Row],[År]]</f>
        <v>2070</v>
      </c>
      <c r="C53" s="274" cm="1">
        <f t="array" ref="C53">_xlfn.IFS(Tidstabel[[#This Row],[År]]&gt;KR_Trin3_Tærskel,KR_Trin3_Rente,Tidstabel[[#This Row],[År]]&gt;KR_Trin2_Tærskel,KR_Trin2_Rente,Tidstabel[[#This Row],[År]]&gt;KR_Trin1_Tærskel,KR_Trin1_Rente,Tidstabel[[#This Row],[År]]&gt;KR_Trin0_Tærskel,KR_Trin0_Rente)</f>
        <v>2.5000000000000001E-2</v>
      </c>
      <c r="D53" s="142" t="str" cm="1">
        <f t="array" ref="D53">IFERROR(
INDEX(Range_Materiale_ÅrligeEmissioner,MATCH(1,(Materialedata[Komponent]=FB_Titel)*(Materialedata[Materiale]=FB_Materiale),0),MATCH(Tidstabel[[#This Row],[År]],Range_Materiale_År,0)),BlankTegn)</f>
        <v>.</v>
      </c>
      <c r="E53" s="142" t="str" cm="1">
        <f t="array" ref="E53">IFERROR(
INDEX(Range_Materiale_ÅrligeEmissioner,MATCH(1,(Materialedata[Komponent]=SK_Titel)*(Materialedata[Materiale]=SK_Materiale),0),MATCH(Tidstabel[[#This Row],[År]],Range_Materiale_År,0)),BlankTegn)</f>
        <v>.</v>
      </c>
      <c r="F53" s="142" t="str" cm="1">
        <f t="array" ref="F53">IFERROR(
INDEX(Range_Materiale_ÅrligeEmissioner,MATCH(1,(Materialedata[Komponent]=EI_Titel)*(Materialedata[Materiale]=EI_Materiale),0),MATCH(Tidstabel[[#This Row],[År]],Range_Materiale_År,0)),BlankTegn)</f>
        <v>.</v>
      </c>
      <c r="G53" s="142" t="str" cm="1">
        <f t="array" ref="G53">IFERROR(
INDEX(Range_Materiale_ÅrligeEmissioner,MATCH(1,(Materialedata[Komponent]=AP_Titel)*(Materialedata[Materiale]=AP_Materiale),0),MATCH(Tidstabel[[#This Row],[År]],Range_Materiale_År,0)),BlankTegn)</f>
        <v>.</v>
      </c>
      <c r="H53" s="142" t="str" cm="1">
        <f t="array" ref="H53">IFERROR(
INDEX(Range_Materiale_ÅrligeEmissioner,MATCH(1,(Materialedata[Komponent]=VS_Titel)*(Materialedata[Materiale]=VS_Materiale),0),MATCH(Tidstabel[[#This Row],[År]],Range_Materiale_År,0)),BlankTegn)</f>
        <v>.</v>
      </c>
      <c r="I53" s="142" t="str">
        <f>IFERROR(
IF(SUM(Tidstabel[[#This Row],[Facadebeklædning]:[Vindspærre]])=0,BlankTegn,
SUM(Tidstabel[[#This Row],[Facadebeklædning]:[Vindspærre]])),BlankTegn)</f>
        <v>.</v>
      </c>
      <c r="J53" s="139">
        <f>IF(Tidstabel[[#This Row],[År]]&gt;Input_Tidshorisont,BlankTegn,
A5_ElVarmeBrændstofByggeplads)</f>
        <v>0.25</v>
      </c>
      <c r="K53" s="142" t="str">
        <f>IFERROR(IF(Tidstabel[[#This Row],[År]]&gt;Input_Tidshorisont,BlankTegn,
-1*INDEX(Range_Energi_ÅrligBesparelse,MATCH(Input_EksisterendeFacade,Energiberegning[Ydervæg],0),MATCH(Tidstabel[[#This Row],[Årstal]],Range_Energi_Årstal,0))),BlankTegn)</f>
        <v>.</v>
      </c>
      <c r="L53" s="142">
        <f>IF(Tidstabel[[#This Row],[År]]&gt;Input_Tidshorisont,BlankTegn,
(Tidstabel[[#This Row],[År]]+1)*(SUM(Vedligeholdelsesmaterialer[Facadefarve],Vedligeholdelsesmaterialer[Grunder og mellemmaling])/12+SUM(Vedligeholdelsesmaterialer[Puds])/30))</f>
        <v>15.268151434166665</v>
      </c>
      <c r="M53" s="142" t="str">
        <f>IFERROR(IF(Tidstabel[[#This Row],[År]]&gt;Input_Tidshorisont,BlankTegn,
Tidstabel[[#This Row],[Materialer_Total]]+Tidstabel[[#This Row],[Byggeprocess]]),BlankTegn)</f>
        <v>.</v>
      </c>
      <c r="N53" s="142" t="str">
        <f>IFERROR(IF(Tidstabel[[#This Row],[År]]&gt;Input_Tidshorisont,BlankTegn,
Tidstabel[[#This Row],[Energibesparelse]]+Tidstabel[[#This Row],[Emission_Brutto]]),BlankTegn)</f>
        <v>.</v>
      </c>
      <c r="O53" s="142" t="str">
        <f>IFERROR(IF(Tidstabel[[#This Row],[År]]&gt;Input_Tidshorisont,BlankTegn,
Tidstabel[[#This Row],[Emission_Netto]]-Tidstabel[[#This Row],[Vedligehold_EksisterendeFacade]]),BlankTegn)</f>
        <v>.</v>
      </c>
      <c r="P53" s="271" t="str">
        <f>IFERROR(IF(Tidstabel[[#This Row],[År]]&gt;Input_Tidshorisont,BlankTegn,
IF(AND(Tidstabel[[#This Row],[Emission_Netto]]-Tidstabel[[#This Row],[Vedligehold_EksisterendeFacade]]&gt;0,N54-L54&lt;0),-1,IF(AND(Tidstabel[[#This Row],[Emission_Netto]]-Tidstabel[[#This Row],[Vedligehold_EksisterendeFacade]]&lt;0,N54-L54&gt;0),1,0))),BlankTegn)</f>
        <v>.</v>
      </c>
      <c r="Q53" s="174" t="str">
        <f>IF(Tidstabel[[#This Row],[År]]&gt;Input_Tidshorisont,BlankTegn,
IF(Tidstabel[[#This Row],[LCA-Skæring]]=-1,SUM(Tidstabel[[#This Row],[År]]*(1-ABS(Tidstabel[[#This Row],[LCA-Difference]])/(ABS(Tidstabel[[#This Row],[LCA-Difference]])+ABS(O54))),A54*(1-ABS(O54)/(ABS(Tidstabel[[#This Row],[LCA-Difference]])+ABS(O54)))),"-"))</f>
        <v>-</v>
      </c>
      <c r="R53" s="174" t="str">
        <f>IF(Tidstabel[[#This Row],[År]]&gt;Input_Tidshorisont,BlankTegn,
IF(Tidstabel[[#This Row],[LCA-Skæring]]=-1,SUM(Tidstabel[[#This Row],[Emission_Netto]]*(1-ABS(Tidstabel[[#This Row],[LCA-Difference]])/(ABS(Tidstabel[[#This Row],[LCA-Difference]])+ABS(O54))),N54*(1-ABS(O54)/(ABS(Tidstabel[[#This Row],[LCA-Difference]])+ABS(O54)))),"-"))</f>
        <v>-</v>
      </c>
      <c r="S53" s="174" t="str">
        <f>IF(Tidstabel[[#This Row],[År]]&gt;Input_Tidshorisont,BlankTegn,
IF(Tidstabel[[#This Row],[LCA-Skæring]]=1,SUM(Tidstabel[[#This Row],[År]]*(1-ABS(Tidstabel[[#This Row],[LCA-Difference]])/(ABS(Tidstabel[[#This Row],[LCA-Difference]])+ABS(O54))),A54*(1-ABS(O54)/(ABS(Tidstabel[[#This Row],[LCA-Difference]])+ABS(O54)))),"-"))</f>
        <v>-</v>
      </c>
      <c r="T53" s="264" t="str">
        <f>IF(Tidstabel[[#This Row],[År]]&gt;Input_Tidshorisont,BlankTegn,
IF(Tidstabel[[#This Row],[LCA-Skæring]]=1,SUM(Tidstabel[[#This Row],[Emission_Netto]]*(1-ABS(Tidstabel[[#This Row],[LCA-Difference]])/(ABS(Tidstabel[[#This Row],[LCA-Difference]])+ABS(O54))),N54*(1-ABS(O54)/(ABS(Tidstabel[[#This Row],[LCA-Difference]])+ABS(O54)))),"-"))</f>
        <v>-</v>
      </c>
      <c r="U53" s="142" t="str">
        <f ca="1">IFERROR(IF(Tidstabel[[#This Row],[År]]&gt;Input_Tidshorisont,BlankTegn,
Tidstabel[[#This Row],[NPV_Klimafacade]]-Tidstabel[[#This Row],[NPV_Eksisterende]]),BlankTegn)</f>
        <v>.</v>
      </c>
      <c r="V53" s="271" t="str">
        <f ca="1">IFERROR(IF(Tidstabel[[#This Row],[År]]&gt;Input_Tidshorisont,BlankTegn,
IF(AND(Tidstabel[[#This Row],[NPV_Klimafacade]]-Tidstabel[[#This Row],[NPV_Eksisterende]]&gt;0,AB54-AA54&lt;0),1,IF(AND(Tidstabel[[#This Row],[NPV_Klimafacade]]-Tidstabel[[#This Row],[NPV_Eksisterende]]&lt;0,AB54-AA54&gt;0),-1,0))),BlankTegn)</f>
        <v>.</v>
      </c>
      <c r="W53" s="174" t="str">
        <f ca="1">IF(Tidstabel[[#This Row],[År]]&gt;Input_Tidshorisont,BlankTegn,
IF(Tidstabel[[#This Row],[LCC-Skæring]]=-1,SUM(Tidstabel[[#This Row],[År]]*(1-ABS(Tidstabel[[#This Row],[LCC-Difference]])/(ABS(Tidstabel[[#This Row],[LCC-Difference]])+ABS(U54))),A54*(1-ABS(U54)/(ABS(Tidstabel[[#This Row],[LCC-Difference]])+ABS(U54)))),"-"))</f>
        <v>-</v>
      </c>
      <c r="X53" s="174" t="str">
        <f ca="1">IF(Tidstabel[[#This Row],[År]]&gt;Input_Tidshorisont,BlankTegn,
IF(Tidstabel[[#This Row],[LCC-Skæring]]=-1,SUM(Tidstabel[[#This Row],[NPV_Klimafacade]]*(1-ABS(Tidstabel[[#This Row],[LCC-Difference]])/(ABS(Tidstabel[[#This Row],[LCC-Difference]])+ABS(U54))),AB54*(1-ABS(U54)/(ABS(Tidstabel[[#This Row],[LCC-Difference]])+ABS(U54)))),"-"))</f>
        <v>-</v>
      </c>
      <c r="Y53" s="174" t="str">
        <f ca="1">IF(Tidstabel[[#This Row],[År]]&gt;Input_Tidshorisont,BlankTegn,
IF(Tidstabel[[#This Row],[LCC-Skæring]]=1,SUM(Tidstabel[[#This Row],[År]]*(1-ABS(Tidstabel[[#This Row],[LCC-Difference]])/(ABS(Tidstabel[[#This Row],[LCC-Difference]])+ABS(U54))),A54*(1-ABS(U54)/(ABS(Tidstabel[[#This Row],[LCC-Difference]])+ABS(U54)))),"-"))</f>
        <v>-</v>
      </c>
      <c r="Z53" s="264" t="str">
        <f ca="1">IF(Tidstabel[[#This Row],[År]]&gt;Input_Tidshorisont,BlankTegn,
IF(Tidstabel[[#This Row],[LCC-Skæring]]=1,SUM(Tidstabel[[#This Row],[NPV_Klimafacade]]*(1-ABS(Tidstabel[[#This Row],[LCC-Difference]])/(ABS(Tidstabel[[#This Row],[LCC-Difference]])+ABS(U54))),AB54*(1-ABS(U54)/(ABS(Tidstabel[[#This Row],[LCC-Difference]])+ABS(U54)))),"-"))</f>
        <v>-</v>
      </c>
      <c r="AA53" s="142">
        <f ca="1">IF(Tidstabel[[#This Row],[År]]&gt;Input_Tidshorisont,BlankTegn,
Tidstabel[[#This Row],[EF_Vedligehold_Aggregeret]])</f>
        <v>-266.31009191878053</v>
      </c>
      <c r="AB53"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53" s="142" t="str">
        <f>IFERROR(IF(Tidstabel[[#This Row],[År]]&gt;Input_Tidshorisont,BlankTegn,
Tidstabel[[#This Row],[KF_Anskaffelse_Aggregeret]]+Tidstabel[[#This Row],[KF_Engangsudgifter_Aggregeret]]),BlankTegn)</f>
        <v>.</v>
      </c>
      <c r="AD53" s="174">
        <f ca="1">IFERROR(IF(Tidstabel[[#This Row],[År]]&gt;Input_Tidshorisont,BlankTegn,
IF(Tidstabel[[#This Row],[År]]=0,0,Tidstabel[[#This Row],[NPV_Eksisterende]]*(Tidstabel[[#This Row],[Kalkulationsrente]]/(1-(1+Tidstabel[[#This Row],[Kalkulationsrente]])^-Tidstabel[[#This Row],[År]])))),BlankTegn)</f>
        <v>-9.8073369830752899</v>
      </c>
      <c r="AE53" s="264" t="str">
        <f ca="1">IFERROR(IF(Tidstabel[[#This Row],[År]]&gt;Input_Tidshorisont,BlankTegn,
IF(Tidstabel[[#This Row],[År]]=0,0,Tidstabel[[#This Row],[NPV_Klimafacade]]*(Tidstabel[[#This Row],[Kalkulationsrente]]/(1-(1+Tidstabel[[#This Row],[Kalkulationsrente]])^-Tidstabel[[#This Row],[År]])))),BlankTegn)</f>
        <v>.</v>
      </c>
      <c r="AF53" s="270">
        <f ca="1">IF(Tidstabel[[#This Row],[År]]&gt;Input_Tidshorisont,BlankTegn,
IF(EF_Vedligehold_i=1,IF(Tidstabel[[#This Row],[EF_Uds?]]=0,1,0),IF(MAX(AF52:OFFSET(AG52,2-EF_Vedligehold_i,0),Tidstabel[[#This Row],[EF_Uds?]])=0,1,0)))</f>
        <v>1</v>
      </c>
      <c r="AG53" s="181">
        <f>IF(Tidstabel[[#This Row],[År]]&gt;Input_Tidshorisont,BlankTegn,0)</f>
        <v>0</v>
      </c>
      <c r="AH53" s="263">
        <f ca="1">IF(Tidstabel[[#This Row],[År]]&gt;Input_Tidshorisont,BlankTegn,
Tidstabel[[#This Row],[EF_Ved?]]*EF_Vedligehold_p*-EF_Enhedspris*((1+Tidstabel[[#This Row],[Kalkulationsrente]])^-Tidstabel[[#This Row],[År]])*((1+PrisudviklingGenerelt)^Tidstabel[[#This Row],[År]]))</f>
        <v>-3.4196510887974099</v>
      </c>
      <c r="AI53" s="262">
        <f ca="1">IF(Tidstabel[[#This Row],[År]]&gt;Input_Tidshorisont,BlankTegn,
IF(Tidstabel[[#This Row],[År]]=0,Tidstabel[[#This Row],[EF_Vedligehold]],AI52+Tidstabel[[#This Row],[EF_Vedligehold]]))</f>
        <v>-266.31009191878053</v>
      </c>
      <c r="AJ53" s="245">
        <f>IFERROR(IF(Tidstabel[[#This Row],[År]]&gt;Input_Tidshorisont,BlankTegn,
Tidstabel[[#This Row],[FB_Anskaffelse]]+Tidstabel[[#This Row],[VS_Anskaffelse]]+Tidstabel[[#This Row],[EI_Anskaffelse]]+Tidstabel[[#This Row],[AP_Anskaffelse]]+Tidstabel[[#This Row],[SK_Anskaffelse]]),BlankTegn)</f>
        <v>0</v>
      </c>
      <c r="AK53" s="245" t="str">
        <f>IFERROR(IF(Tidstabel[[#This Row],[År]]&gt;Input_Tidshorisont,BlankTegn,
IF(Tidstabel[[#This Row],[År]]=0,Tidstabel[[#This Row],[KF_Anskaffelse]],AK52+Tidstabel[[#This Row],[KF_Anskaffelse]])),BlankTegn)</f>
        <v>.</v>
      </c>
      <c r="AL53" s="246" t="str">
        <f ca="1">IFERROR(IF(Tidstabel[[#This Row],[År]]&gt;Input_Tidshorisont,BlankTegn,
Tidstabel[[#This Row],[FB_Vedligehold]]+Tidstabel[[#This Row],[VS_Vedligehold]]+Tidstabel[[#This Row],[EI_Vedligehold]]+Tidstabel[[#This Row],[AP_Vedligehold]]+Tidstabel[[#This Row],[SK_Vedligehold]]),BlankTegn)</f>
        <v>.</v>
      </c>
      <c r="AM53" s="245" t="str">
        <f ca="1">IFERROR(IF(Tidstabel[[#This Row],[År]]&gt;Input_Tidshorisont,BlankTegn,
IF(Tidstabel[[#This Row],[År]]=0,Tidstabel[[#This Row],[KF_Vedligehold]],AM52+Tidstabel[[#This Row],[KF_Vedligehold]])),BlankTegn)</f>
        <v>.</v>
      </c>
      <c r="AN53"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53"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53" s="245" t="str">
        <f>IFERROR(IF(Tidstabel[[#This Row],[År]]&gt;Input_Tidshorisont,BlankTegn,
IF(Tidstabel[[#This Row],[År]]=0,Tidstabel[[#This Row],[KF_Udskiftning_Komponent]],AP52+Tidstabel[[#This Row],[KF_Udskiftning_Komponent]])),BlankTegn)</f>
        <v>.</v>
      </c>
      <c r="AQ53" s="245">
        <f>IF(Tidstabel[[#This Row],[År]]&gt;Input_Tidshorisont,BlankTegn,
IF(Tidstabel[[#This Row],[År]]=0,-SUM(Engangsudgifter[Udgift]),0))</f>
        <v>0</v>
      </c>
      <c r="AR53" s="245">
        <f>IFERROR(IF(Tidstabel[[#This Row],[År]]&gt;Input_Tidshorisont,BlankTegn,
IF(Tidstabel[[#This Row],[År]]=0,Tidstabel[[#This Row],[KF_Engangsudgifter]],AR52+Tidstabel[[#This Row],[KF_Engangsudgifter]])),BlankTegn)</f>
        <v>0</v>
      </c>
      <c r="AS53" s="315" t="str">
        <f>IFERROR(IF(Tidstabel[[#This Row],[År]]&gt;Input_Tidshorisont,BlankTegn,
-Energibesparelse_Årlig),BlankTegn)</f>
        <v>.</v>
      </c>
      <c r="AT53" s="245" t="str">
        <f>IFERROR(IF(Tidstabel[[#This Row],[År]]&gt;Input_Tidshorisont,BlankTegn,
IF(Tidstabel[[#This Row],[År]]=0,0,-Tidstabel[[#This Row],[KF_Energiforbrug]]*Input_Fjernvarmepris*((1+Tidstabel[[#This Row],[Kalkulationsrente]])^-Tidstabel[[#This Row],[År]])*((1+PrisudviklingFjernvarme)^Tidstabel[[#This Row],[År]]))),BlankTegn)</f>
        <v>.</v>
      </c>
      <c r="AU53" s="262" t="str">
        <f>IFERROR(IF(Tidstabel[[#This Row],[År]]&gt;Input_Tidshorisont,BlankTegn,
IF(Tidstabel[[#This Row],[År]]=0,Tidstabel[[#This Row],[KF_Forsyning]],AU52+Tidstabel[[#This Row],[KF_Forsyning]])),BlankTegn)</f>
        <v>.</v>
      </c>
      <c r="AV53" s="245">
        <f>IFERROR(IF(Tidstabel[[#This Row],[År]]&gt;Input_Tidshorisont,BlankTegn,
IF(Tidstabel[[#This Row],[År]]=0,-FB_Enhedspris,0)),BlankTegn)</f>
        <v>0</v>
      </c>
      <c r="AW53" s="245" t="str">
        <f>IFERROR(IF(Tidstabel[[#This Row],[År]]&gt;Input_Tidshorisont,BlankTegn,
IF(Tidstabel[[#This Row],[År]]=0,FB_Enhedspris/FB_Levetid,AW52*((1+Tidstabel[[#This Row],[Kalkulationsrente]])^-1)*((1+PrisudviklingGenerelt)^1))),BlankTegn)</f>
        <v>.</v>
      </c>
      <c r="AX53" s="178" t="str">
        <f ca="1">IFERROR(IF(Tidstabel[[#This Row],[År]]&gt;Input_Tidshorisont,BlankTegn,
IF(FB_Vedligehold_i=1,IF(Tidstabel[[#This Row],[FB_Uds?]]=0,1,0),IF(MAX(AX52:OFFSET(AY52,2-FB_Vedligehold_i,0),Tidstabel[[#This Row],[FB_Uds?]])=0,1,0))),BlankTegn)</f>
        <v>.</v>
      </c>
      <c r="AY53" s="178" t="str">
        <f>IFERROR(IF(Tidstabel[[#This Row],[År]]&gt;Input_Tidshorisont,BlankTegn,
IF(Tidstabel[[#This Row],[År]]=0,1,IF(MOD(Tidstabel[[#This Row],[År]],FB_Levetid)=0,1,IF(Tidstabel[[#This Row],[År]]=Input_Tidshorisont,0,0)))),BlankTegn)</f>
        <v>.</v>
      </c>
      <c r="AZ53" s="245" t="str">
        <f ca="1">IFERROR(IF(Tidstabel[[#This Row],[År]]&gt;Input_Tidshorisont,BlankTegn,
FB_Vedligehold_p*-FB_Enhedspris*Tidstabel[[#This Row],[FB_Ved?]]*((1+Tidstabel[[#This Row],[Kalkulationsrente]])^-Tidstabel[[#This Row],[År]])*((1+PrisudviklingGenerelt)^Tidstabel[[#This Row],[År]])),BlankTegn)</f>
        <v>.</v>
      </c>
      <c r="BA53" s="245" t="str">
        <f>IFERROR(IF(Tidstabel[[#This Row],[År]]&gt;Input_Tidshorisont,BlankTegn,
IF(Tidstabel[[#This Row],[År]]=0,FB_Enhedspris,SUM(BA52:BB52)*((1+Tidstabel[[#This Row],[Kalkulationsrente]])^-1)*((1+PrisudviklingGenerelt)^1)-Tidstabel[[#This Row],[FB_Afskrivning]])),BlankTegn)</f>
        <v>.</v>
      </c>
      <c r="BB53" s="245" t="str">
        <f>IFERROR(IF(Tidstabel[[#This Row],[År]]&gt;Input_Tidshorisont,BlankTegn,
IF(Tidstabel[[#This Row],[År]]=0,0,Tidstabel[[#This Row],[FB_Uds?]]*FB_Enhedspris*((1+Tidstabel[[#This Row],[Kalkulationsrente]])^-Tidstabel[[#This Row],[År]])*((1+PrisudviklingGenerelt)^Tidstabel[[#This Row],[År]]))),BlankTegn)</f>
        <v>.</v>
      </c>
      <c r="BC53" s="262" t="str">
        <f>IFERROR(IF(Tidstabel[[#This Row],[År]]&gt;Input_Tidshorisont,BlankTegn,
IF(Tidstabel[[#This Row],[År]]=0,0,Tidstabel[[#This Row],[FB_Uds?]]*-FB_Enhedspris*FB_Genoprettelse*((1+Tidstabel[[#This Row],[Kalkulationsrente]])^-Tidstabel[[#This Row],[År]])*((1+PrisudviklingGenerelt)^Tidstabel[[#This Row],[År]]))),BlankTegn)</f>
        <v>.</v>
      </c>
      <c r="BD53" s="245">
        <f>IFERROR(IF(Tidstabel[[#This Row],[År]]&gt;Input_Tidshorisont,BlankTegn,
IF(Tidstabel[[#This Row],[År]]=0,-VS_Enhedspris,0)),BlankTegn)</f>
        <v>0</v>
      </c>
      <c r="BE53" s="245" t="str">
        <f>IFERROR(IF(Tidstabel[[#This Row],[År]]&gt;Input_Tidshorisont,BlankTegn,
IF(Tidstabel[[#This Row],[År]]=0,VS_Enhedspris/VS_Levetid,BE52*((1+Tidstabel[[#This Row],[Kalkulationsrente]])^-1)*((1+PrisudviklingGenerelt)^1))),BlankTegn)</f>
        <v>.</v>
      </c>
      <c r="BF53" s="178" t="str">
        <f ca="1">IFERROR(IF(Tidstabel[[#This Row],[År]]&gt;Input_Tidshorisont,BlankTegn,
IF(VS_Vedligehold_i=1,IF(Tidstabel[[#This Row],[VS_Uds?]]=0,1,0),IF(MAX(BF52:OFFSET(BG52,2-VS_Vedligehold_i,0),Tidstabel[[#This Row],[VS_Uds?]])=0,1,0))),BlankTegn)</f>
        <v>.</v>
      </c>
      <c r="BG53" s="178" t="str">
        <f>IFERROR(IF(Tidstabel[[#This Row],[År]]&gt;Input_Tidshorisont,BlankTegn,
IF(Tidstabel[[#This Row],[År]]=0,1,IF(MOD(Tidstabel[[#This Row],[År]],VS_Levetid)=0,1,IF(Tidstabel[[#This Row],[År]]=Input_Tidshorisont,0,0)))),BlankTegn)</f>
        <v>.</v>
      </c>
      <c r="BH53" s="245" t="str">
        <f ca="1">IFERROR(IF(Tidstabel[[#This Row],[År]]&gt;Input_Tidshorisont,BlankTegn,
VS_Vedligehold_p*-VS_Enhedspris*Tidstabel[[#This Row],[VS_Ved?]]*((1+Tidstabel[[#This Row],[Kalkulationsrente]])^-Tidstabel[[#This Row],[År]])*((1+PrisudviklingGenerelt)^Tidstabel[[#This Row],[År]])),BlankTegn)</f>
        <v>.</v>
      </c>
      <c r="BI53" s="245" t="str">
        <f>IFERROR(IF(Tidstabel[[#This Row],[År]]&gt;Input_Tidshorisont,BlankTegn,
IF(Tidstabel[[#This Row],[År]]=0,VS_Enhedspris,SUM(BI52:BJ52)*((1+Tidstabel[[#This Row],[Kalkulationsrente]])^-1)*((1+PrisudviklingGenerelt)^1)-Tidstabel[[#This Row],[VS_Afskrivning]])),BlankTegn)</f>
        <v>.</v>
      </c>
      <c r="BJ53" s="245" t="str">
        <f>IFERROR(IF(Tidstabel[[#This Row],[År]]&gt;Input_Tidshorisont,BlankTegn,
IF(Tidstabel[[#This Row],[År]]=0,0,Tidstabel[[#This Row],[VS_Uds?]]*VS_Enhedspris*((1+Tidstabel[[#This Row],[Kalkulationsrente]])^-Tidstabel[[#This Row],[År]])*((1+PrisudviklingGenerelt)^Tidstabel[[#This Row],[År]]))),BlankTegn)</f>
        <v>.</v>
      </c>
      <c r="BK53" s="262" t="str">
        <f>IFERROR(IF(Tidstabel[[#This Row],[År]]&gt;Input_Tidshorisont,BlankTegn,
IF(Tidstabel[[#This Row],[År]]=0,0,Tidstabel[[#This Row],[VS_Uds?]]*-VS_Enhedspris*VS_Genoprettelse*((1+Tidstabel[[#This Row],[Kalkulationsrente]])^-Tidstabel[[#This Row],[År]])*((1+PrisudviklingGenerelt)^Tidstabel[[#This Row],[År]]))),BlankTegn)</f>
        <v>.</v>
      </c>
      <c r="BL53" s="245">
        <f>IFERROR(IF(Tidstabel[[#This Row],[År]]&gt;Input_Tidshorisont,BlankTegn,
IF(Tidstabel[[#This Row],[År]]=0,-EI_Enhedspris,0)),BlankTegn)</f>
        <v>0</v>
      </c>
      <c r="BM53" s="245" t="str">
        <f>IFERROR(IF(Tidstabel[[#This Row],[År]]&gt;Input_Tidshorisont,BlankTegn,
IF(Tidstabel[[#This Row],[År]]=0,EI_Enhedspris/EI_Levetid,BM52*((1+Tidstabel[[#This Row],[Kalkulationsrente]])^-1)*((1+PrisudviklingGenerelt)^1))),BlankTegn)</f>
        <v>.</v>
      </c>
      <c r="BN53" s="178" t="str">
        <f ca="1">IFERROR(IF(Tidstabel[[#This Row],[År]]&gt;Input_Tidshorisont,BlankTegn,
IF(EI_Vedligehold_i=1,IF(Tidstabel[[#This Row],[EI_Uds?]]=0,1,0),IF(MAX(BN52:OFFSET(BO52,2-EI_Vedligehold_i,0),Tidstabel[[#This Row],[EI_Uds?]])=0,1,0))),BlankTegn)</f>
        <v>.</v>
      </c>
      <c r="BO53" s="178" t="str">
        <f>IFERROR(IF(Tidstabel[[#This Row],[År]]&gt;Input_Tidshorisont,BlankTegn,
IF(Tidstabel[[#This Row],[År]]=0,1,IF(MOD(Tidstabel[[#This Row],[År]],EI_Levetid)=0,1,IF(Tidstabel[[#This Row],[År]]=Input_Tidshorisont,0,0)))),BlankTegn)</f>
        <v>.</v>
      </c>
      <c r="BP53" s="245" t="str">
        <f ca="1">IFERROR(IF(Tidstabel[[#This Row],[År]]&gt;Input_Tidshorisont,BlankTegn,
EI_Vedligehold_p*-EI_Enhedspris*Tidstabel[[#This Row],[EI_Ved?]]*((1+Tidstabel[[#This Row],[Kalkulationsrente]])^-Tidstabel[[#This Row],[År]])*((1+PrisudviklingGenerelt)^Tidstabel[[#This Row],[År]])),BlankTegn)</f>
        <v>.</v>
      </c>
      <c r="BQ53" s="245" t="str">
        <f>IFERROR(IF(Tidstabel[[#This Row],[År]]&gt;Input_Tidshorisont,BlankTegn,
IF(Tidstabel[[#This Row],[År]]=0,EI_Enhedspris,SUM(BQ52:BR52)*((1+Tidstabel[[#This Row],[Kalkulationsrente]])^-1)*((1+PrisudviklingGenerelt)^1)-Tidstabel[[#This Row],[EI_Afskrivning]])),BlankTegn)</f>
        <v>.</v>
      </c>
      <c r="BR53" s="245" t="str">
        <f>IFERROR(IF(Tidstabel[[#This Row],[År]]&gt;Input_Tidshorisont,BlankTegn,
IF(Tidstabel[[#This Row],[År]]=0,0,Tidstabel[[#This Row],[EI_Uds?]]*EI_Enhedspris*((1+Tidstabel[[#This Row],[Kalkulationsrente]])^-Tidstabel[[#This Row],[År]])*((1+PrisudviklingGenerelt)^Tidstabel[[#This Row],[År]]))),BlankTegn)</f>
        <v>.</v>
      </c>
      <c r="BS53" s="262" t="str">
        <f>IFERROR(IF(Tidstabel[[#This Row],[År]]&gt;Input_Tidshorisont,BlankTegn,
IF(Tidstabel[[#This Row],[År]]=0,0,Tidstabel[[#This Row],[EI_Uds?]]*-EI_Enhedspris*EI_Genoprettelse*((1+Tidstabel[[#This Row],[Kalkulationsrente]])^-Tidstabel[[#This Row],[År]])*((1+PrisudviklingGenerelt)^Tidstabel[[#This Row],[År]]))),BlankTegn)</f>
        <v>.</v>
      </c>
      <c r="BT53" s="245">
        <f>IFERROR(IF(Tidstabel[[#This Row],[År]]&gt;Input_Tidshorisont,BlankTegn,
IF(Tidstabel[[#This Row],[År]]=0,-AP_Enhedspris,0)),BlankTegn)</f>
        <v>0</v>
      </c>
      <c r="BU53" s="245" t="str">
        <f>IFERROR(IF(Tidstabel[[#This Row],[År]]&gt;Input_Tidshorisont,BlankTegn,
IF(Tidstabel[[#This Row],[År]]=0,AP_Enhedspris/AP_Levetid,BU52*((1+Tidstabel[[#This Row],[Kalkulationsrente]])^-1)*((1+PrisudviklingGenerelt)^1))),BlankTegn)</f>
        <v>.</v>
      </c>
      <c r="BV53" s="178" t="str">
        <f ca="1">IFERROR(IF(Tidstabel[[#This Row],[År]]&gt;Input_Tidshorisont,BlankTegn,
IF(AP_Vedligehold_i=1,IF(Tidstabel[[#This Row],[AP_Uds?]]=0,1,0),IF(MAX(BV52:OFFSET(BW52,2-AP_Vedligehold_i,0),Tidstabel[[#This Row],[AP_Uds?]])=0,1,0))),BlankTegn)</f>
        <v>.</v>
      </c>
      <c r="BW53" s="178" t="str">
        <f>IFERROR(IF(Tidstabel[[#This Row],[År]]&gt;Input_Tidshorisont,BlankTegn,
IF(Tidstabel[[#This Row],[År]]=0,1,IF(MOD(Tidstabel[[#This Row],[År]],AP_Levetid)=0,1,IF(Tidstabel[[#This Row],[År]]=Input_Tidshorisont,0,0)))),BlankTegn)</f>
        <v>.</v>
      </c>
      <c r="BX53" s="245" t="str">
        <f ca="1">IFERROR(IF(Tidstabel[[#This Row],[År]]&gt;Input_Tidshorisont,BlankTegn,
AP_Vedligehold_p*-AP_Enhedspris*Tidstabel[[#This Row],[AP_Ved?]]*((1+Tidstabel[[#This Row],[Kalkulationsrente]])^-Tidstabel[[#This Row],[År]])*((1+PrisudviklingGenerelt)^Tidstabel[[#This Row],[År]])),BlankTegn)</f>
        <v>.</v>
      </c>
      <c r="BY53" s="245" t="str">
        <f>IFERROR(IF(Tidstabel[[#This Row],[År]]&gt;Input_Tidshorisont,BlankTegn,
IF(Tidstabel[[#This Row],[År]]=0,AP_Enhedspris,SUM(BY52:BZ52)*((1+Tidstabel[[#This Row],[Kalkulationsrente]])^-1)*((1+PrisudviklingGenerelt)^1)-Tidstabel[[#This Row],[AP_Afskrivning]])),BlankTegn)</f>
        <v>.</v>
      </c>
      <c r="BZ53" s="245" t="str">
        <f>IFERROR(IF(Tidstabel[[#This Row],[År]]&gt;Input_Tidshorisont,BlankTegn,
IF(Tidstabel[[#This Row],[År]]=0,0,Tidstabel[[#This Row],[AP_Uds?]]*AP_Enhedspris*((1+Tidstabel[[#This Row],[Kalkulationsrente]])^-Tidstabel[[#This Row],[År]])*((1+PrisudviklingGenerelt)^Tidstabel[[#This Row],[År]]))),BlankTegn)</f>
        <v>.</v>
      </c>
      <c r="CA53" s="262" t="str">
        <f>IFERROR(IF(Tidstabel[[#This Row],[År]]&gt;Input_Tidshorisont,BlankTegn,
IF(Tidstabel[[#This Row],[År]]=0,0,Tidstabel[[#This Row],[AP_Uds?]]*-AP_Enhedspris*AP_Genoprettelse*((1+Tidstabel[[#This Row],[Kalkulationsrente]])^-Tidstabel[[#This Row],[År]])*((1+PrisudviklingGenerelt)^Tidstabel[[#This Row],[År]]))),BlankTegn)</f>
        <v>.</v>
      </c>
      <c r="CB53" s="245">
        <f>IFERROR(IF(Tidstabel[[#This Row],[År]]&gt;Input_Tidshorisont,BlankTegn,
IF(Tidstabel[[#This Row],[År]]=0,-SK_Enhedspris,0)),BlankTegn)</f>
        <v>0</v>
      </c>
      <c r="CC53" s="245" t="str">
        <f>IFERROR(IF(Tidstabel[[#This Row],[År]]&gt;Input_Tidshorisont,BlankTegn,
IF(Tidstabel[[#This Row],[År]]=0,SK_Enhedspris/SK_Levetid,CC52*((1+Tidstabel[[#This Row],[Kalkulationsrente]])^-1)*((1+PrisudviklingGenerelt)^1))),BlankTegn)</f>
        <v>.</v>
      </c>
      <c r="CD53" s="178" t="str">
        <f ca="1">IFERROR(IF(Tidstabel[[#This Row],[År]]&gt;Input_Tidshorisont,BlankTegn,
IF(SK_Vedligehold_i=1,IF(Tidstabel[[#This Row],[SK_Uds?]]=0,1,0),IF(MAX(CD52:OFFSET(CE52,2-SK_Vedligehold_i,0),Tidstabel[[#This Row],[SK_Uds?]])=0,1,0))),BlankTegn)</f>
        <v>.</v>
      </c>
      <c r="CE53" s="178" t="str">
        <f>IFERROR(IF(Tidstabel[[#This Row],[År]]&gt;Input_Tidshorisont,BlankTegn,
IF(Tidstabel[[#This Row],[År]]=0,1,IF(MOD(Tidstabel[[#This Row],[År]],SK_Levetid)=0,1,IF(Tidstabel[[#This Row],[År]]=Input_Tidshorisont,0,0)))),BlankTegn)</f>
        <v>.</v>
      </c>
      <c r="CF53" s="245" t="str">
        <f ca="1">IFERROR(IF(Tidstabel[[#This Row],[År]]&gt;Input_Tidshorisont,BlankTegn,
SK_Vedligehold_p*-SK_Enhedspris*Tidstabel[[#This Row],[SK_Ved?]]*((1+Tidstabel[[#This Row],[Kalkulationsrente]])^-Tidstabel[[#This Row],[År]])*((1+PrisudviklingGenerelt)^Tidstabel[[#This Row],[År]])),BlankTegn)</f>
        <v>.</v>
      </c>
      <c r="CG53" s="245" t="str">
        <f>IFERROR(IF(Tidstabel[[#This Row],[År]]&gt;Input_Tidshorisont,BlankTegn,
IF(Tidstabel[[#This Row],[År]]=0,SK_Enhedspris,SUM(CG52:CH52)*((1+Tidstabel[[#This Row],[Kalkulationsrente]])^-1)*((1+PrisudviklingGenerelt)^1)-Tidstabel[[#This Row],[SK_Afskrivning]])),BlankTegn)</f>
        <v>.</v>
      </c>
      <c r="CH53" s="245" t="str">
        <f>IFERROR(IF(Tidstabel[[#This Row],[År]]&gt;Input_Tidshorisont,BlankTegn,
IF(Tidstabel[[#This Row],[År]]=0,0,Tidstabel[[#This Row],[SK_Uds?]]*SK_Enhedspris*((1+Tidstabel[[#This Row],[Kalkulationsrente]])^-Tidstabel[[#This Row],[År]])*((1+PrisudviklingGenerelt)^Tidstabel[[#This Row],[År]]))),BlankTegn)</f>
        <v>.</v>
      </c>
      <c r="CI53" s="262" t="str">
        <f>IFERROR(IF(Tidstabel[[#This Row],[År]]&gt;Input_Tidshorisont,BlankTegn,
IF(Tidstabel[[#This Row],[År]]=0,0,Tidstabel[[#This Row],[SK_Uds?]]*-SK_Enhedspris*SK_Genoprettelse*((1+Tidstabel[[#This Row],[Kalkulationsrente]])^-Tidstabel[[#This Row],[År]])*((1+PrisudviklingGenerelt)^Tidstabel[[#This Row],[År]]))),BlankTegn)</f>
        <v>.</v>
      </c>
      <c r="CJ53" s="19"/>
    </row>
    <row r="54" spans="1:88">
      <c r="A54" s="250">
        <v>47</v>
      </c>
      <c r="B54" s="250">
        <f>Input_Etableringsår+Tidstabel[[#This Row],[År]]</f>
        <v>2071</v>
      </c>
      <c r="C54" s="274" cm="1">
        <f t="array" ref="C54">_xlfn.IFS(Tidstabel[[#This Row],[År]]&gt;KR_Trin3_Tærskel,KR_Trin3_Rente,Tidstabel[[#This Row],[År]]&gt;KR_Trin2_Tærskel,KR_Trin2_Rente,Tidstabel[[#This Row],[År]]&gt;KR_Trin1_Tærskel,KR_Trin1_Rente,Tidstabel[[#This Row],[År]]&gt;KR_Trin0_Tærskel,KR_Trin0_Rente)</f>
        <v>2.5000000000000001E-2</v>
      </c>
      <c r="D54" s="142" t="str" cm="1">
        <f t="array" ref="D54">IFERROR(
INDEX(Range_Materiale_ÅrligeEmissioner,MATCH(1,(Materialedata[Komponent]=FB_Titel)*(Materialedata[Materiale]=FB_Materiale),0),MATCH(Tidstabel[[#This Row],[År]],Range_Materiale_År,0)),BlankTegn)</f>
        <v>.</v>
      </c>
      <c r="E54" s="142" t="str" cm="1">
        <f t="array" ref="E54">IFERROR(
INDEX(Range_Materiale_ÅrligeEmissioner,MATCH(1,(Materialedata[Komponent]=SK_Titel)*(Materialedata[Materiale]=SK_Materiale),0),MATCH(Tidstabel[[#This Row],[År]],Range_Materiale_År,0)),BlankTegn)</f>
        <v>.</v>
      </c>
      <c r="F54" s="142" t="str" cm="1">
        <f t="array" ref="F54">IFERROR(
INDEX(Range_Materiale_ÅrligeEmissioner,MATCH(1,(Materialedata[Komponent]=EI_Titel)*(Materialedata[Materiale]=EI_Materiale),0),MATCH(Tidstabel[[#This Row],[År]],Range_Materiale_År,0)),BlankTegn)</f>
        <v>.</v>
      </c>
      <c r="G54" s="142" t="str" cm="1">
        <f t="array" ref="G54">IFERROR(
INDEX(Range_Materiale_ÅrligeEmissioner,MATCH(1,(Materialedata[Komponent]=AP_Titel)*(Materialedata[Materiale]=AP_Materiale),0),MATCH(Tidstabel[[#This Row],[År]],Range_Materiale_År,0)),BlankTegn)</f>
        <v>.</v>
      </c>
      <c r="H54" s="142" t="str" cm="1">
        <f t="array" ref="H54">IFERROR(
INDEX(Range_Materiale_ÅrligeEmissioner,MATCH(1,(Materialedata[Komponent]=VS_Titel)*(Materialedata[Materiale]=VS_Materiale),0),MATCH(Tidstabel[[#This Row],[År]],Range_Materiale_År,0)),BlankTegn)</f>
        <v>.</v>
      </c>
      <c r="I54" s="142" t="str">
        <f>IFERROR(
IF(SUM(Tidstabel[[#This Row],[Facadebeklædning]:[Vindspærre]])=0,BlankTegn,
SUM(Tidstabel[[#This Row],[Facadebeklædning]:[Vindspærre]])),BlankTegn)</f>
        <v>.</v>
      </c>
      <c r="J54" s="139">
        <f>IF(Tidstabel[[#This Row],[År]]&gt;Input_Tidshorisont,BlankTegn,
A5_ElVarmeBrændstofByggeplads)</f>
        <v>0.25</v>
      </c>
      <c r="K54" s="142" t="str">
        <f>IFERROR(IF(Tidstabel[[#This Row],[År]]&gt;Input_Tidshorisont,BlankTegn,
-1*INDEX(Range_Energi_ÅrligBesparelse,MATCH(Input_EksisterendeFacade,Energiberegning[Ydervæg],0),MATCH(Tidstabel[[#This Row],[Årstal]],Range_Energi_Årstal,0))),BlankTegn)</f>
        <v>.</v>
      </c>
      <c r="L54" s="142">
        <f>IF(Tidstabel[[#This Row],[År]]&gt;Input_Tidshorisont,BlankTegn,
(Tidstabel[[#This Row],[År]]+1)*(SUM(Vedligeholdelsesmaterialer[Facadefarve],Vedligeholdelsesmaterialer[Grunder og mellemmaling])/12+SUM(Vedligeholdelsesmaterialer[Puds])/30))</f>
        <v>15.593005719999999</v>
      </c>
      <c r="M54" s="142" t="str">
        <f>IFERROR(IF(Tidstabel[[#This Row],[År]]&gt;Input_Tidshorisont,BlankTegn,
Tidstabel[[#This Row],[Materialer_Total]]+Tidstabel[[#This Row],[Byggeprocess]]),BlankTegn)</f>
        <v>.</v>
      </c>
      <c r="N54" s="142" t="str">
        <f>IFERROR(IF(Tidstabel[[#This Row],[År]]&gt;Input_Tidshorisont,BlankTegn,
Tidstabel[[#This Row],[Energibesparelse]]+Tidstabel[[#This Row],[Emission_Brutto]]),BlankTegn)</f>
        <v>.</v>
      </c>
      <c r="O54" s="142" t="str">
        <f>IFERROR(IF(Tidstabel[[#This Row],[År]]&gt;Input_Tidshorisont,BlankTegn,
Tidstabel[[#This Row],[Emission_Netto]]-Tidstabel[[#This Row],[Vedligehold_EksisterendeFacade]]),BlankTegn)</f>
        <v>.</v>
      </c>
      <c r="P54" s="271" t="str">
        <f>IFERROR(IF(Tidstabel[[#This Row],[År]]&gt;Input_Tidshorisont,BlankTegn,
IF(AND(Tidstabel[[#This Row],[Emission_Netto]]-Tidstabel[[#This Row],[Vedligehold_EksisterendeFacade]]&gt;0,N55-L55&lt;0),-1,IF(AND(Tidstabel[[#This Row],[Emission_Netto]]-Tidstabel[[#This Row],[Vedligehold_EksisterendeFacade]]&lt;0,N55-L55&gt;0),1,0))),BlankTegn)</f>
        <v>.</v>
      </c>
      <c r="Q54" s="174" t="str">
        <f>IF(Tidstabel[[#This Row],[År]]&gt;Input_Tidshorisont,BlankTegn,
IF(Tidstabel[[#This Row],[LCA-Skæring]]=-1,SUM(Tidstabel[[#This Row],[År]]*(1-ABS(Tidstabel[[#This Row],[LCA-Difference]])/(ABS(Tidstabel[[#This Row],[LCA-Difference]])+ABS(O55))),A55*(1-ABS(O55)/(ABS(Tidstabel[[#This Row],[LCA-Difference]])+ABS(O55)))),"-"))</f>
        <v>-</v>
      </c>
      <c r="R54" s="174" t="str">
        <f>IF(Tidstabel[[#This Row],[År]]&gt;Input_Tidshorisont,BlankTegn,
IF(Tidstabel[[#This Row],[LCA-Skæring]]=-1,SUM(Tidstabel[[#This Row],[Emission_Netto]]*(1-ABS(Tidstabel[[#This Row],[LCA-Difference]])/(ABS(Tidstabel[[#This Row],[LCA-Difference]])+ABS(O55))),N55*(1-ABS(O55)/(ABS(Tidstabel[[#This Row],[LCA-Difference]])+ABS(O55)))),"-"))</f>
        <v>-</v>
      </c>
      <c r="S54" s="174" t="str">
        <f>IF(Tidstabel[[#This Row],[År]]&gt;Input_Tidshorisont,BlankTegn,
IF(Tidstabel[[#This Row],[LCA-Skæring]]=1,SUM(Tidstabel[[#This Row],[År]]*(1-ABS(Tidstabel[[#This Row],[LCA-Difference]])/(ABS(Tidstabel[[#This Row],[LCA-Difference]])+ABS(O55))),A55*(1-ABS(O55)/(ABS(Tidstabel[[#This Row],[LCA-Difference]])+ABS(O55)))),"-"))</f>
        <v>-</v>
      </c>
      <c r="T54" s="264" t="str">
        <f>IF(Tidstabel[[#This Row],[År]]&gt;Input_Tidshorisont,BlankTegn,
IF(Tidstabel[[#This Row],[LCA-Skæring]]=1,SUM(Tidstabel[[#This Row],[Emission_Netto]]*(1-ABS(Tidstabel[[#This Row],[LCA-Difference]])/(ABS(Tidstabel[[#This Row],[LCA-Difference]])+ABS(O55))),N55*(1-ABS(O55)/(ABS(Tidstabel[[#This Row],[LCA-Difference]])+ABS(O55)))),"-"))</f>
        <v>-</v>
      </c>
      <c r="U54" s="142" t="str">
        <f ca="1">IFERROR(IF(Tidstabel[[#This Row],[År]]&gt;Input_Tidshorisont,BlankTegn,
Tidstabel[[#This Row],[NPV_Klimafacade]]-Tidstabel[[#This Row],[NPV_Eksisterende]]),BlankTegn)</f>
        <v>.</v>
      </c>
      <c r="V54" s="271" t="str">
        <f ca="1">IFERROR(IF(Tidstabel[[#This Row],[År]]&gt;Input_Tidshorisont,BlankTegn,
IF(AND(Tidstabel[[#This Row],[NPV_Klimafacade]]-Tidstabel[[#This Row],[NPV_Eksisterende]]&gt;0,AB55-AA55&lt;0),1,IF(AND(Tidstabel[[#This Row],[NPV_Klimafacade]]-Tidstabel[[#This Row],[NPV_Eksisterende]]&lt;0,AB55-AA55&gt;0),-1,0))),BlankTegn)</f>
        <v>.</v>
      </c>
      <c r="W54" s="174" t="str">
        <f ca="1">IF(Tidstabel[[#This Row],[År]]&gt;Input_Tidshorisont,BlankTegn,
IF(Tidstabel[[#This Row],[LCC-Skæring]]=-1,SUM(Tidstabel[[#This Row],[År]]*(1-ABS(Tidstabel[[#This Row],[LCC-Difference]])/(ABS(Tidstabel[[#This Row],[LCC-Difference]])+ABS(U55))),A55*(1-ABS(U55)/(ABS(Tidstabel[[#This Row],[LCC-Difference]])+ABS(U55)))),"-"))</f>
        <v>-</v>
      </c>
      <c r="X54" s="174" t="str">
        <f ca="1">IF(Tidstabel[[#This Row],[År]]&gt;Input_Tidshorisont,BlankTegn,
IF(Tidstabel[[#This Row],[LCC-Skæring]]=-1,SUM(Tidstabel[[#This Row],[NPV_Klimafacade]]*(1-ABS(Tidstabel[[#This Row],[LCC-Difference]])/(ABS(Tidstabel[[#This Row],[LCC-Difference]])+ABS(U55))),AB55*(1-ABS(U55)/(ABS(Tidstabel[[#This Row],[LCC-Difference]])+ABS(U55)))),"-"))</f>
        <v>-</v>
      </c>
      <c r="Y54" s="174" t="str">
        <f ca="1">IF(Tidstabel[[#This Row],[År]]&gt;Input_Tidshorisont,BlankTegn,
IF(Tidstabel[[#This Row],[LCC-Skæring]]=1,SUM(Tidstabel[[#This Row],[År]]*(1-ABS(Tidstabel[[#This Row],[LCC-Difference]])/(ABS(Tidstabel[[#This Row],[LCC-Difference]])+ABS(U55))),A55*(1-ABS(U55)/(ABS(Tidstabel[[#This Row],[LCC-Difference]])+ABS(U55)))),"-"))</f>
        <v>-</v>
      </c>
      <c r="Z54" s="264" t="str">
        <f ca="1">IF(Tidstabel[[#This Row],[År]]&gt;Input_Tidshorisont,BlankTegn,
IF(Tidstabel[[#This Row],[LCC-Skæring]]=1,SUM(Tidstabel[[#This Row],[NPV_Klimafacade]]*(1-ABS(Tidstabel[[#This Row],[LCC-Difference]])/(ABS(Tidstabel[[#This Row],[LCC-Difference]])+ABS(U55))),AB55*(1-ABS(U55)/(ABS(Tidstabel[[#This Row],[LCC-Difference]])+ABS(U55)))),"-"))</f>
        <v>-</v>
      </c>
      <c r="AA54" s="142">
        <f ca="1">IF(Tidstabel[[#This Row],[År]]&gt;Input_Tidshorisont,BlankTegn,
Tidstabel[[#This Row],[EF_Vedligehold_Aggregeret]])</f>
        <v>-269.64633688346095</v>
      </c>
      <c r="AB54"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54" s="142" t="str">
        <f>IFERROR(IF(Tidstabel[[#This Row],[År]]&gt;Input_Tidshorisont,BlankTegn,
Tidstabel[[#This Row],[KF_Anskaffelse_Aggregeret]]+Tidstabel[[#This Row],[KF_Engangsudgifter_Aggregeret]]),BlankTegn)</f>
        <v>.</v>
      </c>
      <c r="AD54" s="174">
        <f ca="1">IFERROR(IF(Tidstabel[[#This Row],[År]]&gt;Input_Tidshorisont,BlankTegn,
IF(Tidstabel[[#This Row],[År]]=0,0,Tidstabel[[#This Row],[NPV_Eksisterende]]*(Tidstabel[[#This Row],[Kalkulationsrente]]/(1-(1+Tidstabel[[#This Row],[Kalkulationsrente]])^-Tidstabel[[#This Row],[År]])))),BlankTegn)</f>
        <v>-9.8169293954027008</v>
      </c>
      <c r="AE54" s="264" t="str">
        <f ca="1">IFERROR(IF(Tidstabel[[#This Row],[År]]&gt;Input_Tidshorisont,BlankTegn,
IF(Tidstabel[[#This Row],[År]]=0,0,Tidstabel[[#This Row],[NPV_Klimafacade]]*(Tidstabel[[#This Row],[Kalkulationsrente]]/(1-(1+Tidstabel[[#This Row],[Kalkulationsrente]])^-Tidstabel[[#This Row],[År]])))),BlankTegn)</f>
        <v>.</v>
      </c>
      <c r="AF54" s="270">
        <f ca="1">IF(Tidstabel[[#This Row],[År]]&gt;Input_Tidshorisont,BlankTegn,
IF(EF_Vedligehold_i=1,IF(Tidstabel[[#This Row],[EF_Uds?]]=0,1,0),IF(MAX(AF53:OFFSET(AG53,2-EF_Vedligehold_i,0),Tidstabel[[#This Row],[EF_Uds?]])=0,1,0)))</f>
        <v>1</v>
      </c>
      <c r="AG54" s="181">
        <f>IF(Tidstabel[[#This Row],[År]]&gt;Input_Tidshorisont,BlankTegn,0)</f>
        <v>0</v>
      </c>
      <c r="AH54" s="263">
        <f ca="1">IF(Tidstabel[[#This Row],[År]]&gt;Input_Tidshorisont,BlankTegn,
Tidstabel[[#This Row],[EF_Ved?]]*EF_Vedligehold_p*-EF_Enhedspris*((1+Tidstabel[[#This Row],[Kalkulationsrente]])^-Tidstabel[[#This Row],[År]])*((1+PrisudviklingGenerelt)^Tidstabel[[#This Row],[År]]))</f>
        <v>-3.3362449646803998</v>
      </c>
      <c r="AI54" s="262">
        <f ca="1">IF(Tidstabel[[#This Row],[År]]&gt;Input_Tidshorisont,BlankTegn,
IF(Tidstabel[[#This Row],[År]]=0,Tidstabel[[#This Row],[EF_Vedligehold]],AI53+Tidstabel[[#This Row],[EF_Vedligehold]]))</f>
        <v>-269.64633688346095</v>
      </c>
      <c r="AJ54" s="245">
        <f>IFERROR(IF(Tidstabel[[#This Row],[År]]&gt;Input_Tidshorisont,BlankTegn,
Tidstabel[[#This Row],[FB_Anskaffelse]]+Tidstabel[[#This Row],[VS_Anskaffelse]]+Tidstabel[[#This Row],[EI_Anskaffelse]]+Tidstabel[[#This Row],[AP_Anskaffelse]]+Tidstabel[[#This Row],[SK_Anskaffelse]]),BlankTegn)</f>
        <v>0</v>
      </c>
      <c r="AK54" s="245" t="str">
        <f>IFERROR(IF(Tidstabel[[#This Row],[År]]&gt;Input_Tidshorisont,BlankTegn,
IF(Tidstabel[[#This Row],[År]]=0,Tidstabel[[#This Row],[KF_Anskaffelse]],AK53+Tidstabel[[#This Row],[KF_Anskaffelse]])),BlankTegn)</f>
        <v>.</v>
      </c>
      <c r="AL54" s="246" t="str">
        <f ca="1">IFERROR(IF(Tidstabel[[#This Row],[År]]&gt;Input_Tidshorisont,BlankTegn,
Tidstabel[[#This Row],[FB_Vedligehold]]+Tidstabel[[#This Row],[VS_Vedligehold]]+Tidstabel[[#This Row],[EI_Vedligehold]]+Tidstabel[[#This Row],[AP_Vedligehold]]+Tidstabel[[#This Row],[SK_Vedligehold]]),BlankTegn)</f>
        <v>.</v>
      </c>
      <c r="AM54" s="245" t="str">
        <f ca="1">IFERROR(IF(Tidstabel[[#This Row],[År]]&gt;Input_Tidshorisont,BlankTegn,
IF(Tidstabel[[#This Row],[År]]=0,Tidstabel[[#This Row],[KF_Vedligehold]],AM53+Tidstabel[[#This Row],[KF_Vedligehold]])),BlankTegn)</f>
        <v>.</v>
      </c>
      <c r="AN54"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54"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54" s="245" t="str">
        <f>IFERROR(IF(Tidstabel[[#This Row],[År]]&gt;Input_Tidshorisont,BlankTegn,
IF(Tidstabel[[#This Row],[År]]=0,Tidstabel[[#This Row],[KF_Udskiftning_Komponent]],AP53+Tidstabel[[#This Row],[KF_Udskiftning_Komponent]])),BlankTegn)</f>
        <v>.</v>
      </c>
      <c r="AQ54" s="245">
        <f>IF(Tidstabel[[#This Row],[År]]&gt;Input_Tidshorisont,BlankTegn,
IF(Tidstabel[[#This Row],[År]]=0,-SUM(Engangsudgifter[Udgift]),0))</f>
        <v>0</v>
      </c>
      <c r="AR54" s="245">
        <f>IFERROR(IF(Tidstabel[[#This Row],[År]]&gt;Input_Tidshorisont,BlankTegn,
IF(Tidstabel[[#This Row],[År]]=0,Tidstabel[[#This Row],[KF_Engangsudgifter]],AR53+Tidstabel[[#This Row],[KF_Engangsudgifter]])),BlankTegn)</f>
        <v>0</v>
      </c>
      <c r="AS54" s="315" t="str">
        <f>IFERROR(IF(Tidstabel[[#This Row],[År]]&gt;Input_Tidshorisont,BlankTegn,
-Energibesparelse_Årlig),BlankTegn)</f>
        <v>.</v>
      </c>
      <c r="AT54" s="245" t="str">
        <f>IFERROR(IF(Tidstabel[[#This Row],[År]]&gt;Input_Tidshorisont,BlankTegn,
IF(Tidstabel[[#This Row],[År]]=0,0,-Tidstabel[[#This Row],[KF_Energiforbrug]]*Input_Fjernvarmepris*((1+Tidstabel[[#This Row],[Kalkulationsrente]])^-Tidstabel[[#This Row],[År]])*((1+PrisudviklingFjernvarme)^Tidstabel[[#This Row],[År]]))),BlankTegn)</f>
        <v>.</v>
      </c>
      <c r="AU54" s="262" t="str">
        <f>IFERROR(IF(Tidstabel[[#This Row],[År]]&gt;Input_Tidshorisont,BlankTegn,
IF(Tidstabel[[#This Row],[År]]=0,Tidstabel[[#This Row],[KF_Forsyning]],AU53+Tidstabel[[#This Row],[KF_Forsyning]])),BlankTegn)</f>
        <v>.</v>
      </c>
      <c r="AV54" s="245">
        <f>IFERROR(IF(Tidstabel[[#This Row],[År]]&gt;Input_Tidshorisont,BlankTegn,
IF(Tidstabel[[#This Row],[År]]=0,-FB_Enhedspris,0)),BlankTegn)</f>
        <v>0</v>
      </c>
      <c r="AW54" s="245" t="str">
        <f>IFERROR(IF(Tidstabel[[#This Row],[År]]&gt;Input_Tidshorisont,BlankTegn,
IF(Tidstabel[[#This Row],[År]]=0,FB_Enhedspris/FB_Levetid,AW53*((1+Tidstabel[[#This Row],[Kalkulationsrente]])^-1)*((1+PrisudviklingGenerelt)^1))),BlankTegn)</f>
        <v>.</v>
      </c>
      <c r="AX54" s="178" t="str">
        <f ca="1">IFERROR(IF(Tidstabel[[#This Row],[År]]&gt;Input_Tidshorisont,BlankTegn,
IF(FB_Vedligehold_i=1,IF(Tidstabel[[#This Row],[FB_Uds?]]=0,1,0),IF(MAX(AX53:OFFSET(AY53,2-FB_Vedligehold_i,0),Tidstabel[[#This Row],[FB_Uds?]])=0,1,0))),BlankTegn)</f>
        <v>.</v>
      </c>
      <c r="AY54" s="178" t="str">
        <f>IFERROR(IF(Tidstabel[[#This Row],[År]]&gt;Input_Tidshorisont,BlankTegn,
IF(Tidstabel[[#This Row],[År]]=0,1,IF(MOD(Tidstabel[[#This Row],[År]],FB_Levetid)=0,1,IF(Tidstabel[[#This Row],[År]]=Input_Tidshorisont,0,0)))),BlankTegn)</f>
        <v>.</v>
      </c>
      <c r="AZ54" s="245" t="str">
        <f ca="1">IFERROR(IF(Tidstabel[[#This Row],[År]]&gt;Input_Tidshorisont,BlankTegn,
FB_Vedligehold_p*-FB_Enhedspris*Tidstabel[[#This Row],[FB_Ved?]]*((1+Tidstabel[[#This Row],[Kalkulationsrente]])^-Tidstabel[[#This Row],[År]])*((1+PrisudviklingGenerelt)^Tidstabel[[#This Row],[År]])),BlankTegn)</f>
        <v>.</v>
      </c>
      <c r="BA54" s="245" t="str">
        <f>IFERROR(IF(Tidstabel[[#This Row],[År]]&gt;Input_Tidshorisont,BlankTegn,
IF(Tidstabel[[#This Row],[År]]=0,FB_Enhedspris,SUM(BA53:BB53)*((1+Tidstabel[[#This Row],[Kalkulationsrente]])^-1)*((1+PrisudviklingGenerelt)^1)-Tidstabel[[#This Row],[FB_Afskrivning]])),BlankTegn)</f>
        <v>.</v>
      </c>
      <c r="BB54" s="245" t="str">
        <f>IFERROR(IF(Tidstabel[[#This Row],[År]]&gt;Input_Tidshorisont,BlankTegn,
IF(Tidstabel[[#This Row],[År]]=0,0,Tidstabel[[#This Row],[FB_Uds?]]*FB_Enhedspris*((1+Tidstabel[[#This Row],[Kalkulationsrente]])^-Tidstabel[[#This Row],[År]])*((1+PrisudviklingGenerelt)^Tidstabel[[#This Row],[År]]))),BlankTegn)</f>
        <v>.</v>
      </c>
      <c r="BC54" s="262" t="str">
        <f>IFERROR(IF(Tidstabel[[#This Row],[År]]&gt;Input_Tidshorisont,BlankTegn,
IF(Tidstabel[[#This Row],[År]]=0,0,Tidstabel[[#This Row],[FB_Uds?]]*-FB_Enhedspris*FB_Genoprettelse*((1+Tidstabel[[#This Row],[Kalkulationsrente]])^-Tidstabel[[#This Row],[År]])*((1+PrisudviklingGenerelt)^Tidstabel[[#This Row],[År]]))),BlankTegn)</f>
        <v>.</v>
      </c>
      <c r="BD54" s="245">
        <f>IFERROR(IF(Tidstabel[[#This Row],[År]]&gt;Input_Tidshorisont,BlankTegn,
IF(Tidstabel[[#This Row],[År]]=0,-VS_Enhedspris,0)),BlankTegn)</f>
        <v>0</v>
      </c>
      <c r="BE54" s="245" t="str">
        <f>IFERROR(IF(Tidstabel[[#This Row],[År]]&gt;Input_Tidshorisont,BlankTegn,
IF(Tidstabel[[#This Row],[År]]=0,VS_Enhedspris/VS_Levetid,BE53*((1+Tidstabel[[#This Row],[Kalkulationsrente]])^-1)*((1+PrisudviklingGenerelt)^1))),BlankTegn)</f>
        <v>.</v>
      </c>
      <c r="BF54" s="178" t="str">
        <f ca="1">IFERROR(IF(Tidstabel[[#This Row],[År]]&gt;Input_Tidshorisont,BlankTegn,
IF(VS_Vedligehold_i=1,IF(Tidstabel[[#This Row],[VS_Uds?]]=0,1,0),IF(MAX(BF53:OFFSET(BG53,2-VS_Vedligehold_i,0),Tidstabel[[#This Row],[VS_Uds?]])=0,1,0))),BlankTegn)</f>
        <v>.</v>
      </c>
      <c r="BG54" s="178" t="str">
        <f>IFERROR(IF(Tidstabel[[#This Row],[År]]&gt;Input_Tidshorisont,BlankTegn,
IF(Tidstabel[[#This Row],[År]]=0,1,IF(MOD(Tidstabel[[#This Row],[År]],VS_Levetid)=0,1,IF(Tidstabel[[#This Row],[År]]=Input_Tidshorisont,0,0)))),BlankTegn)</f>
        <v>.</v>
      </c>
      <c r="BH54" s="245" t="str">
        <f ca="1">IFERROR(IF(Tidstabel[[#This Row],[År]]&gt;Input_Tidshorisont,BlankTegn,
VS_Vedligehold_p*-VS_Enhedspris*Tidstabel[[#This Row],[VS_Ved?]]*((1+Tidstabel[[#This Row],[Kalkulationsrente]])^-Tidstabel[[#This Row],[År]])*((1+PrisudviklingGenerelt)^Tidstabel[[#This Row],[År]])),BlankTegn)</f>
        <v>.</v>
      </c>
      <c r="BI54" s="245" t="str">
        <f>IFERROR(IF(Tidstabel[[#This Row],[År]]&gt;Input_Tidshorisont,BlankTegn,
IF(Tidstabel[[#This Row],[År]]=0,VS_Enhedspris,SUM(BI53:BJ53)*((1+Tidstabel[[#This Row],[Kalkulationsrente]])^-1)*((1+PrisudviklingGenerelt)^1)-Tidstabel[[#This Row],[VS_Afskrivning]])),BlankTegn)</f>
        <v>.</v>
      </c>
      <c r="BJ54" s="245" t="str">
        <f>IFERROR(IF(Tidstabel[[#This Row],[År]]&gt;Input_Tidshorisont,BlankTegn,
IF(Tidstabel[[#This Row],[År]]=0,0,Tidstabel[[#This Row],[VS_Uds?]]*VS_Enhedspris*((1+Tidstabel[[#This Row],[Kalkulationsrente]])^-Tidstabel[[#This Row],[År]])*((1+PrisudviklingGenerelt)^Tidstabel[[#This Row],[År]]))),BlankTegn)</f>
        <v>.</v>
      </c>
      <c r="BK54" s="262" t="str">
        <f>IFERROR(IF(Tidstabel[[#This Row],[År]]&gt;Input_Tidshorisont,BlankTegn,
IF(Tidstabel[[#This Row],[År]]=0,0,Tidstabel[[#This Row],[VS_Uds?]]*-VS_Enhedspris*VS_Genoprettelse*((1+Tidstabel[[#This Row],[Kalkulationsrente]])^-Tidstabel[[#This Row],[År]])*((1+PrisudviklingGenerelt)^Tidstabel[[#This Row],[År]]))),BlankTegn)</f>
        <v>.</v>
      </c>
      <c r="BL54" s="245">
        <f>IFERROR(IF(Tidstabel[[#This Row],[År]]&gt;Input_Tidshorisont,BlankTegn,
IF(Tidstabel[[#This Row],[År]]=0,-EI_Enhedspris,0)),BlankTegn)</f>
        <v>0</v>
      </c>
      <c r="BM54" s="245" t="str">
        <f>IFERROR(IF(Tidstabel[[#This Row],[År]]&gt;Input_Tidshorisont,BlankTegn,
IF(Tidstabel[[#This Row],[År]]=0,EI_Enhedspris/EI_Levetid,BM53*((1+Tidstabel[[#This Row],[Kalkulationsrente]])^-1)*((1+PrisudviklingGenerelt)^1))),BlankTegn)</f>
        <v>.</v>
      </c>
      <c r="BN54" s="178" t="str">
        <f ca="1">IFERROR(IF(Tidstabel[[#This Row],[År]]&gt;Input_Tidshorisont,BlankTegn,
IF(EI_Vedligehold_i=1,IF(Tidstabel[[#This Row],[EI_Uds?]]=0,1,0),IF(MAX(BN53:OFFSET(BO53,2-EI_Vedligehold_i,0),Tidstabel[[#This Row],[EI_Uds?]])=0,1,0))),BlankTegn)</f>
        <v>.</v>
      </c>
      <c r="BO54" s="178" t="str">
        <f>IFERROR(IF(Tidstabel[[#This Row],[År]]&gt;Input_Tidshorisont,BlankTegn,
IF(Tidstabel[[#This Row],[År]]=0,1,IF(MOD(Tidstabel[[#This Row],[År]],EI_Levetid)=0,1,IF(Tidstabel[[#This Row],[År]]=Input_Tidshorisont,0,0)))),BlankTegn)</f>
        <v>.</v>
      </c>
      <c r="BP54" s="245" t="str">
        <f ca="1">IFERROR(IF(Tidstabel[[#This Row],[År]]&gt;Input_Tidshorisont,BlankTegn,
EI_Vedligehold_p*-EI_Enhedspris*Tidstabel[[#This Row],[EI_Ved?]]*((1+Tidstabel[[#This Row],[Kalkulationsrente]])^-Tidstabel[[#This Row],[År]])*((1+PrisudviklingGenerelt)^Tidstabel[[#This Row],[År]])),BlankTegn)</f>
        <v>.</v>
      </c>
      <c r="BQ54" s="245" t="str">
        <f>IFERROR(IF(Tidstabel[[#This Row],[År]]&gt;Input_Tidshorisont,BlankTegn,
IF(Tidstabel[[#This Row],[År]]=0,EI_Enhedspris,SUM(BQ53:BR53)*((1+Tidstabel[[#This Row],[Kalkulationsrente]])^-1)*((1+PrisudviklingGenerelt)^1)-Tidstabel[[#This Row],[EI_Afskrivning]])),BlankTegn)</f>
        <v>.</v>
      </c>
      <c r="BR54" s="245" t="str">
        <f>IFERROR(IF(Tidstabel[[#This Row],[År]]&gt;Input_Tidshorisont,BlankTegn,
IF(Tidstabel[[#This Row],[År]]=0,0,Tidstabel[[#This Row],[EI_Uds?]]*EI_Enhedspris*((1+Tidstabel[[#This Row],[Kalkulationsrente]])^-Tidstabel[[#This Row],[År]])*((1+PrisudviklingGenerelt)^Tidstabel[[#This Row],[År]]))),BlankTegn)</f>
        <v>.</v>
      </c>
      <c r="BS54" s="262" t="str">
        <f>IFERROR(IF(Tidstabel[[#This Row],[År]]&gt;Input_Tidshorisont,BlankTegn,
IF(Tidstabel[[#This Row],[År]]=0,0,Tidstabel[[#This Row],[EI_Uds?]]*-EI_Enhedspris*EI_Genoprettelse*((1+Tidstabel[[#This Row],[Kalkulationsrente]])^-Tidstabel[[#This Row],[År]])*((1+PrisudviklingGenerelt)^Tidstabel[[#This Row],[År]]))),BlankTegn)</f>
        <v>.</v>
      </c>
      <c r="BT54" s="245">
        <f>IFERROR(IF(Tidstabel[[#This Row],[År]]&gt;Input_Tidshorisont,BlankTegn,
IF(Tidstabel[[#This Row],[År]]=0,-AP_Enhedspris,0)),BlankTegn)</f>
        <v>0</v>
      </c>
      <c r="BU54" s="245" t="str">
        <f>IFERROR(IF(Tidstabel[[#This Row],[År]]&gt;Input_Tidshorisont,BlankTegn,
IF(Tidstabel[[#This Row],[År]]=0,AP_Enhedspris/AP_Levetid,BU53*((1+Tidstabel[[#This Row],[Kalkulationsrente]])^-1)*((1+PrisudviklingGenerelt)^1))),BlankTegn)</f>
        <v>.</v>
      </c>
      <c r="BV54" s="178" t="str">
        <f ca="1">IFERROR(IF(Tidstabel[[#This Row],[År]]&gt;Input_Tidshorisont,BlankTegn,
IF(AP_Vedligehold_i=1,IF(Tidstabel[[#This Row],[AP_Uds?]]=0,1,0),IF(MAX(BV53:OFFSET(BW53,2-AP_Vedligehold_i,0),Tidstabel[[#This Row],[AP_Uds?]])=0,1,0))),BlankTegn)</f>
        <v>.</v>
      </c>
      <c r="BW54" s="178" t="str">
        <f>IFERROR(IF(Tidstabel[[#This Row],[År]]&gt;Input_Tidshorisont,BlankTegn,
IF(Tidstabel[[#This Row],[År]]=0,1,IF(MOD(Tidstabel[[#This Row],[År]],AP_Levetid)=0,1,IF(Tidstabel[[#This Row],[År]]=Input_Tidshorisont,0,0)))),BlankTegn)</f>
        <v>.</v>
      </c>
      <c r="BX54" s="245" t="str">
        <f ca="1">IFERROR(IF(Tidstabel[[#This Row],[År]]&gt;Input_Tidshorisont,BlankTegn,
AP_Vedligehold_p*-AP_Enhedspris*Tidstabel[[#This Row],[AP_Ved?]]*((1+Tidstabel[[#This Row],[Kalkulationsrente]])^-Tidstabel[[#This Row],[År]])*((1+PrisudviklingGenerelt)^Tidstabel[[#This Row],[År]])),BlankTegn)</f>
        <v>.</v>
      </c>
      <c r="BY54" s="245" t="str">
        <f>IFERROR(IF(Tidstabel[[#This Row],[År]]&gt;Input_Tidshorisont,BlankTegn,
IF(Tidstabel[[#This Row],[År]]=0,AP_Enhedspris,SUM(BY53:BZ53)*((1+Tidstabel[[#This Row],[Kalkulationsrente]])^-1)*((1+PrisudviklingGenerelt)^1)-Tidstabel[[#This Row],[AP_Afskrivning]])),BlankTegn)</f>
        <v>.</v>
      </c>
      <c r="BZ54" s="245" t="str">
        <f>IFERROR(IF(Tidstabel[[#This Row],[År]]&gt;Input_Tidshorisont,BlankTegn,
IF(Tidstabel[[#This Row],[År]]=0,0,Tidstabel[[#This Row],[AP_Uds?]]*AP_Enhedspris*((1+Tidstabel[[#This Row],[Kalkulationsrente]])^-Tidstabel[[#This Row],[År]])*((1+PrisudviklingGenerelt)^Tidstabel[[#This Row],[År]]))),BlankTegn)</f>
        <v>.</v>
      </c>
      <c r="CA54" s="262" t="str">
        <f>IFERROR(IF(Tidstabel[[#This Row],[År]]&gt;Input_Tidshorisont,BlankTegn,
IF(Tidstabel[[#This Row],[År]]=0,0,Tidstabel[[#This Row],[AP_Uds?]]*-AP_Enhedspris*AP_Genoprettelse*((1+Tidstabel[[#This Row],[Kalkulationsrente]])^-Tidstabel[[#This Row],[År]])*((1+PrisudviklingGenerelt)^Tidstabel[[#This Row],[År]]))),BlankTegn)</f>
        <v>.</v>
      </c>
      <c r="CB54" s="245">
        <f>IFERROR(IF(Tidstabel[[#This Row],[År]]&gt;Input_Tidshorisont,BlankTegn,
IF(Tidstabel[[#This Row],[År]]=0,-SK_Enhedspris,0)),BlankTegn)</f>
        <v>0</v>
      </c>
      <c r="CC54" s="245" t="str">
        <f>IFERROR(IF(Tidstabel[[#This Row],[År]]&gt;Input_Tidshorisont,BlankTegn,
IF(Tidstabel[[#This Row],[År]]=0,SK_Enhedspris/SK_Levetid,CC53*((1+Tidstabel[[#This Row],[Kalkulationsrente]])^-1)*((1+PrisudviklingGenerelt)^1))),BlankTegn)</f>
        <v>.</v>
      </c>
      <c r="CD54" s="178" t="str">
        <f ca="1">IFERROR(IF(Tidstabel[[#This Row],[År]]&gt;Input_Tidshorisont,BlankTegn,
IF(SK_Vedligehold_i=1,IF(Tidstabel[[#This Row],[SK_Uds?]]=0,1,0),IF(MAX(CD53:OFFSET(CE53,2-SK_Vedligehold_i,0),Tidstabel[[#This Row],[SK_Uds?]])=0,1,0))),BlankTegn)</f>
        <v>.</v>
      </c>
      <c r="CE54" s="178" t="str">
        <f>IFERROR(IF(Tidstabel[[#This Row],[År]]&gt;Input_Tidshorisont,BlankTegn,
IF(Tidstabel[[#This Row],[År]]=0,1,IF(MOD(Tidstabel[[#This Row],[År]],SK_Levetid)=0,1,IF(Tidstabel[[#This Row],[År]]=Input_Tidshorisont,0,0)))),BlankTegn)</f>
        <v>.</v>
      </c>
      <c r="CF54" s="245" t="str">
        <f ca="1">IFERROR(IF(Tidstabel[[#This Row],[År]]&gt;Input_Tidshorisont,BlankTegn,
SK_Vedligehold_p*-SK_Enhedspris*Tidstabel[[#This Row],[SK_Ved?]]*((1+Tidstabel[[#This Row],[Kalkulationsrente]])^-Tidstabel[[#This Row],[År]])*((1+PrisudviklingGenerelt)^Tidstabel[[#This Row],[År]])),BlankTegn)</f>
        <v>.</v>
      </c>
      <c r="CG54" s="245" t="str">
        <f>IFERROR(IF(Tidstabel[[#This Row],[År]]&gt;Input_Tidshorisont,BlankTegn,
IF(Tidstabel[[#This Row],[År]]=0,SK_Enhedspris,SUM(CG53:CH53)*((1+Tidstabel[[#This Row],[Kalkulationsrente]])^-1)*((1+PrisudviklingGenerelt)^1)-Tidstabel[[#This Row],[SK_Afskrivning]])),BlankTegn)</f>
        <v>.</v>
      </c>
      <c r="CH54" s="245" t="str">
        <f>IFERROR(IF(Tidstabel[[#This Row],[År]]&gt;Input_Tidshorisont,BlankTegn,
IF(Tidstabel[[#This Row],[År]]=0,0,Tidstabel[[#This Row],[SK_Uds?]]*SK_Enhedspris*((1+Tidstabel[[#This Row],[Kalkulationsrente]])^-Tidstabel[[#This Row],[År]])*((1+PrisudviklingGenerelt)^Tidstabel[[#This Row],[År]]))),BlankTegn)</f>
        <v>.</v>
      </c>
      <c r="CI54" s="262" t="str">
        <f>IFERROR(IF(Tidstabel[[#This Row],[År]]&gt;Input_Tidshorisont,BlankTegn,
IF(Tidstabel[[#This Row],[År]]=0,0,Tidstabel[[#This Row],[SK_Uds?]]*-SK_Enhedspris*SK_Genoprettelse*((1+Tidstabel[[#This Row],[Kalkulationsrente]])^-Tidstabel[[#This Row],[År]])*((1+PrisudviklingGenerelt)^Tidstabel[[#This Row],[År]]))),BlankTegn)</f>
        <v>.</v>
      </c>
      <c r="CJ54" s="19"/>
    </row>
    <row r="55" spans="1:88">
      <c r="A55" s="250">
        <v>48</v>
      </c>
      <c r="B55" s="250">
        <f>Input_Etableringsår+Tidstabel[[#This Row],[År]]</f>
        <v>2072</v>
      </c>
      <c r="C55" s="274" cm="1">
        <f t="array" ref="C55">_xlfn.IFS(Tidstabel[[#This Row],[År]]&gt;KR_Trin3_Tærskel,KR_Trin3_Rente,Tidstabel[[#This Row],[År]]&gt;KR_Trin2_Tærskel,KR_Trin2_Rente,Tidstabel[[#This Row],[År]]&gt;KR_Trin1_Tærskel,KR_Trin1_Rente,Tidstabel[[#This Row],[År]]&gt;KR_Trin0_Tærskel,KR_Trin0_Rente)</f>
        <v>2.5000000000000001E-2</v>
      </c>
      <c r="D55" s="142" t="str" cm="1">
        <f t="array" ref="D55">IFERROR(
INDEX(Range_Materiale_ÅrligeEmissioner,MATCH(1,(Materialedata[Komponent]=FB_Titel)*(Materialedata[Materiale]=FB_Materiale),0),MATCH(Tidstabel[[#This Row],[År]],Range_Materiale_År,0)),BlankTegn)</f>
        <v>.</v>
      </c>
      <c r="E55" s="142" t="str" cm="1">
        <f t="array" ref="E55">IFERROR(
INDEX(Range_Materiale_ÅrligeEmissioner,MATCH(1,(Materialedata[Komponent]=SK_Titel)*(Materialedata[Materiale]=SK_Materiale),0),MATCH(Tidstabel[[#This Row],[År]],Range_Materiale_År,0)),BlankTegn)</f>
        <v>.</v>
      </c>
      <c r="F55" s="142" t="str" cm="1">
        <f t="array" ref="F55">IFERROR(
INDEX(Range_Materiale_ÅrligeEmissioner,MATCH(1,(Materialedata[Komponent]=EI_Titel)*(Materialedata[Materiale]=EI_Materiale),0),MATCH(Tidstabel[[#This Row],[År]],Range_Materiale_År,0)),BlankTegn)</f>
        <v>.</v>
      </c>
      <c r="G55" s="142" t="str" cm="1">
        <f t="array" ref="G55">IFERROR(
INDEX(Range_Materiale_ÅrligeEmissioner,MATCH(1,(Materialedata[Komponent]=AP_Titel)*(Materialedata[Materiale]=AP_Materiale),0),MATCH(Tidstabel[[#This Row],[År]],Range_Materiale_År,0)),BlankTegn)</f>
        <v>.</v>
      </c>
      <c r="H55" s="142" t="str" cm="1">
        <f t="array" ref="H55">IFERROR(
INDEX(Range_Materiale_ÅrligeEmissioner,MATCH(1,(Materialedata[Komponent]=VS_Titel)*(Materialedata[Materiale]=VS_Materiale),0),MATCH(Tidstabel[[#This Row],[År]],Range_Materiale_År,0)),BlankTegn)</f>
        <v>.</v>
      </c>
      <c r="I55" s="142" t="str">
        <f>IFERROR(
IF(SUM(Tidstabel[[#This Row],[Facadebeklædning]:[Vindspærre]])=0,BlankTegn,
SUM(Tidstabel[[#This Row],[Facadebeklædning]:[Vindspærre]])),BlankTegn)</f>
        <v>.</v>
      </c>
      <c r="J55" s="139">
        <f>IF(Tidstabel[[#This Row],[År]]&gt;Input_Tidshorisont,BlankTegn,
A5_ElVarmeBrændstofByggeplads)</f>
        <v>0.25</v>
      </c>
      <c r="K55" s="142" t="str">
        <f>IFERROR(IF(Tidstabel[[#This Row],[År]]&gt;Input_Tidshorisont,BlankTegn,
-1*INDEX(Range_Energi_ÅrligBesparelse,MATCH(Input_EksisterendeFacade,Energiberegning[Ydervæg],0),MATCH(Tidstabel[[#This Row],[Årstal]],Range_Energi_Årstal,0))),BlankTegn)</f>
        <v>.</v>
      </c>
      <c r="L55" s="142">
        <f>IF(Tidstabel[[#This Row],[År]]&gt;Input_Tidshorisont,BlankTegn,
(Tidstabel[[#This Row],[År]]+1)*(SUM(Vedligeholdelsesmaterialer[Facadefarve],Vedligeholdelsesmaterialer[Grunder og mellemmaling])/12+SUM(Vedligeholdelsesmaterialer[Puds])/30))</f>
        <v>15.917860005833333</v>
      </c>
      <c r="M55" s="142" t="str">
        <f>IFERROR(IF(Tidstabel[[#This Row],[År]]&gt;Input_Tidshorisont,BlankTegn,
Tidstabel[[#This Row],[Materialer_Total]]+Tidstabel[[#This Row],[Byggeprocess]]),BlankTegn)</f>
        <v>.</v>
      </c>
      <c r="N55" s="142" t="str">
        <f>IFERROR(IF(Tidstabel[[#This Row],[År]]&gt;Input_Tidshorisont,BlankTegn,
Tidstabel[[#This Row],[Energibesparelse]]+Tidstabel[[#This Row],[Emission_Brutto]]),BlankTegn)</f>
        <v>.</v>
      </c>
      <c r="O55" s="142" t="str">
        <f>IFERROR(IF(Tidstabel[[#This Row],[År]]&gt;Input_Tidshorisont,BlankTegn,
Tidstabel[[#This Row],[Emission_Netto]]-Tidstabel[[#This Row],[Vedligehold_EksisterendeFacade]]),BlankTegn)</f>
        <v>.</v>
      </c>
      <c r="P55" s="271" t="str">
        <f>IFERROR(IF(Tidstabel[[#This Row],[År]]&gt;Input_Tidshorisont,BlankTegn,
IF(AND(Tidstabel[[#This Row],[Emission_Netto]]-Tidstabel[[#This Row],[Vedligehold_EksisterendeFacade]]&gt;0,N56-L56&lt;0),-1,IF(AND(Tidstabel[[#This Row],[Emission_Netto]]-Tidstabel[[#This Row],[Vedligehold_EksisterendeFacade]]&lt;0,N56-L56&gt;0),1,0))),BlankTegn)</f>
        <v>.</v>
      </c>
      <c r="Q55" s="174" t="str">
        <f>IF(Tidstabel[[#This Row],[År]]&gt;Input_Tidshorisont,BlankTegn,
IF(Tidstabel[[#This Row],[LCA-Skæring]]=-1,SUM(Tidstabel[[#This Row],[År]]*(1-ABS(Tidstabel[[#This Row],[LCA-Difference]])/(ABS(Tidstabel[[#This Row],[LCA-Difference]])+ABS(O56))),A56*(1-ABS(O56)/(ABS(Tidstabel[[#This Row],[LCA-Difference]])+ABS(O56)))),"-"))</f>
        <v>-</v>
      </c>
      <c r="R55" s="174" t="str">
        <f>IF(Tidstabel[[#This Row],[År]]&gt;Input_Tidshorisont,BlankTegn,
IF(Tidstabel[[#This Row],[LCA-Skæring]]=-1,SUM(Tidstabel[[#This Row],[Emission_Netto]]*(1-ABS(Tidstabel[[#This Row],[LCA-Difference]])/(ABS(Tidstabel[[#This Row],[LCA-Difference]])+ABS(O56))),N56*(1-ABS(O56)/(ABS(Tidstabel[[#This Row],[LCA-Difference]])+ABS(O56)))),"-"))</f>
        <v>-</v>
      </c>
      <c r="S55" s="174" t="str">
        <f>IF(Tidstabel[[#This Row],[År]]&gt;Input_Tidshorisont,BlankTegn,
IF(Tidstabel[[#This Row],[LCA-Skæring]]=1,SUM(Tidstabel[[#This Row],[År]]*(1-ABS(Tidstabel[[#This Row],[LCA-Difference]])/(ABS(Tidstabel[[#This Row],[LCA-Difference]])+ABS(O56))),A56*(1-ABS(O56)/(ABS(Tidstabel[[#This Row],[LCA-Difference]])+ABS(O56)))),"-"))</f>
        <v>-</v>
      </c>
      <c r="T55" s="264" t="str">
        <f>IF(Tidstabel[[#This Row],[År]]&gt;Input_Tidshorisont,BlankTegn,
IF(Tidstabel[[#This Row],[LCA-Skæring]]=1,SUM(Tidstabel[[#This Row],[Emission_Netto]]*(1-ABS(Tidstabel[[#This Row],[LCA-Difference]])/(ABS(Tidstabel[[#This Row],[LCA-Difference]])+ABS(O56))),N56*(1-ABS(O56)/(ABS(Tidstabel[[#This Row],[LCA-Difference]])+ABS(O56)))),"-"))</f>
        <v>-</v>
      </c>
      <c r="U55" s="142" t="str">
        <f ca="1">IFERROR(IF(Tidstabel[[#This Row],[År]]&gt;Input_Tidshorisont,BlankTegn,
Tidstabel[[#This Row],[NPV_Klimafacade]]-Tidstabel[[#This Row],[NPV_Eksisterende]]),BlankTegn)</f>
        <v>.</v>
      </c>
      <c r="V55" s="271" t="str">
        <f ca="1">IFERROR(IF(Tidstabel[[#This Row],[År]]&gt;Input_Tidshorisont,BlankTegn,
IF(AND(Tidstabel[[#This Row],[NPV_Klimafacade]]-Tidstabel[[#This Row],[NPV_Eksisterende]]&gt;0,AB56-AA56&lt;0),1,IF(AND(Tidstabel[[#This Row],[NPV_Klimafacade]]-Tidstabel[[#This Row],[NPV_Eksisterende]]&lt;0,AB56-AA56&gt;0),-1,0))),BlankTegn)</f>
        <v>.</v>
      </c>
      <c r="W55" s="174" t="str">
        <f ca="1">IF(Tidstabel[[#This Row],[År]]&gt;Input_Tidshorisont,BlankTegn,
IF(Tidstabel[[#This Row],[LCC-Skæring]]=-1,SUM(Tidstabel[[#This Row],[År]]*(1-ABS(Tidstabel[[#This Row],[LCC-Difference]])/(ABS(Tidstabel[[#This Row],[LCC-Difference]])+ABS(U56))),A56*(1-ABS(U56)/(ABS(Tidstabel[[#This Row],[LCC-Difference]])+ABS(U56)))),"-"))</f>
        <v>-</v>
      </c>
      <c r="X55" s="174" t="str">
        <f ca="1">IF(Tidstabel[[#This Row],[År]]&gt;Input_Tidshorisont,BlankTegn,
IF(Tidstabel[[#This Row],[LCC-Skæring]]=-1,SUM(Tidstabel[[#This Row],[NPV_Klimafacade]]*(1-ABS(Tidstabel[[#This Row],[LCC-Difference]])/(ABS(Tidstabel[[#This Row],[LCC-Difference]])+ABS(U56))),AB56*(1-ABS(U56)/(ABS(Tidstabel[[#This Row],[LCC-Difference]])+ABS(U56)))),"-"))</f>
        <v>-</v>
      </c>
      <c r="Y55" s="174" t="str">
        <f ca="1">IF(Tidstabel[[#This Row],[År]]&gt;Input_Tidshorisont,BlankTegn,
IF(Tidstabel[[#This Row],[LCC-Skæring]]=1,SUM(Tidstabel[[#This Row],[År]]*(1-ABS(Tidstabel[[#This Row],[LCC-Difference]])/(ABS(Tidstabel[[#This Row],[LCC-Difference]])+ABS(U56))),A56*(1-ABS(U56)/(ABS(Tidstabel[[#This Row],[LCC-Difference]])+ABS(U56)))),"-"))</f>
        <v>-</v>
      </c>
      <c r="Z55" s="264" t="str">
        <f ca="1">IF(Tidstabel[[#This Row],[År]]&gt;Input_Tidshorisont,BlankTegn,
IF(Tidstabel[[#This Row],[LCC-Skæring]]=1,SUM(Tidstabel[[#This Row],[NPV_Klimafacade]]*(1-ABS(Tidstabel[[#This Row],[LCC-Difference]])/(ABS(Tidstabel[[#This Row],[LCC-Difference]])+ABS(U56))),AB56*(1-ABS(U56)/(ABS(Tidstabel[[#This Row],[LCC-Difference]])+ABS(U56)))),"-"))</f>
        <v>-</v>
      </c>
      <c r="AA55" s="142">
        <f ca="1">IF(Tidstabel[[#This Row],[År]]&gt;Input_Tidshorisont,BlankTegn,
Tidstabel[[#This Row],[EF_Vedligehold_Aggregeret]])</f>
        <v>-272.90121001973449</v>
      </c>
      <c r="AB55"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55" s="142" t="str">
        <f>IFERROR(IF(Tidstabel[[#This Row],[År]]&gt;Input_Tidshorisont,BlankTegn,
Tidstabel[[#This Row],[KF_Anskaffelse_Aggregeret]]+Tidstabel[[#This Row],[KF_Engangsudgifter_Aggregeret]]),BlankTegn)</f>
        <v>.</v>
      </c>
      <c r="AD55" s="174">
        <f ca="1">IFERROR(IF(Tidstabel[[#This Row],[År]]&gt;Input_Tidshorisont,BlankTegn,
IF(Tidstabel[[#This Row],[År]]=0,0,Tidstabel[[#This Row],[NPV_Eksisterende]]*(Tidstabel[[#This Row],[Kalkulationsrente]]/(1-(1+Tidstabel[[#This Row],[Kalkulationsrente]])^-Tidstabel[[#This Row],[År]])))),BlankTegn)</f>
        <v>-9.8260792733691655</v>
      </c>
      <c r="AE55" s="264" t="str">
        <f ca="1">IFERROR(IF(Tidstabel[[#This Row],[År]]&gt;Input_Tidshorisont,BlankTegn,
IF(Tidstabel[[#This Row],[År]]=0,0,Tidstabel[[#This Row],[NPV_Klimafacade]]*(Tidstabel[[#This Row],[Kalkulationsrente]]/(1-(1+Tidstabel[[#This Row],[Kalkulationsrente]])^-Tidstabel[[#This Row],[År]])))),BlankTegn)</f>
        <v>.</v>
      </c>
      <c r="AF55" s="270">
        <f ca="1">IF(Tidstabel[[#This Row],[År]]&gt;Input_Tidshorisont,BlankTegn,
IF(EF_Vedligehold_i=1,IF(Tidstabel[[#This Row],[EF_Uds?]]=0,1,0),IF(MAX(AF54:OFFSET(AG54,2-EF_Vedligehold_i,0),Tidstabel[[#This Row],[EF_Uds?]])=0,1,0)))</f>
        <v>1</v>
      </c>
      <c r="AG55" s="181">
        <f>IF(Tidstabel[[#This Row],[År]]&gt;Input_Tidshorisont,BlankTegn,0)</f>
        <v>0</v>
      </c>
      <c r="AH55" s="263">
        <f ca="1">IF(Tidstabel[[#This Row],[År]]&gt;Input_Tidshorisont,BlankTegn,
Tidstabel[[#This Row],[EF_Ved?]]*EF_Vedligehold_p*-EF_Enhedspris*((1+Tidstabel[[#This Row],[Kalkulationsrente]])^-Tidstabel[[#This Row],[År]])*((1+PrisudviklingGenerelt)^Tidstabel[[#This Row],[År]]))</f>
        <v>-3.2548731362735608</v>
      </c>
      <c r="AI55" s="262">
        <f ca="1">IF(Tidstabel[[#This Row],[År]]&gt;Input_Tidshorisont,BlankTegn,
IF(Tidstabel[[#This Row],[År]]=0,Tidstabel[[#This Row],[EF_Vedligehold]],AI54+Tidstabel[[#This Row],[EF_Vedligehold]]))</f>
        <v>-272.90121001973449</v>
      </c>
      <c r="AJ55" s="245">
        <f>IFERROR(IF(Tidstabel[[#This Row],[År]]&gt;Input_Tidshorisont,BlankTegn,
Tidstabel[[#This Row],[FB_Anskaffelse]]+Tidstabel[[#This Row],[VS_Anskaffelse]]+Tidstabel[[#This Row],[EI_Anskaffelse]]+Tidstabel[[#This Row],[AP_Anskaffelse]]+Tidstabel[[#This Row],[SK_Anskaffelse]]),BlankTegn)</f>
        <v>0</v>
      </c>
      <c r="AK55" s="245" t="str">
        <f>IFERROR(IF(Tidstabel[[#This Row],[År]]&gt;Input_Tidshorisont,BlankTegn,
IF(Tidstabel[[#This Row],[År]]=0,Tidstabel[[#This Row],[KF_Anskaffelse]],AK54+Tidstabel[[#This Row],[KF_Anskaffelse]])),BlankTegn)</f>
        <v>.</v>
      </c>
      <c r="AL55" s="246" t="str">
        <f ca="1">IFERROR(IF(Tidstabel[[#This Row],[År]]&gt;Input_Tidshorisont,BlankTegn,
Tidstabel[[#This Row],[FB_Vedligehold]]+Tidstabel[[#This Row],[VS_Vedligehold]]+Tidstabel[[#This Row],[EI_Vedligehold]]+Tidstabel[[#This Row],[AP_Vedligehold]]+Tidstabel[[#This Row],[SK_Vedligehold]]),BlankTegn)</f>
        <v>.</v>
      </c>
      <c r="AM55" s="245" t="str">
        <f ca="1">IFERROR(IF(Tidstabel[[#This Row],[År]]&gt;Input_Tidshorisont,BlankTegn,
IF(Tidstabel[[#This Row],[År]]=0,Tidstabel[[#This Row],[KF_Vedligehold]],AM54+Tidstabel[[#This Row],[KF_Vedligehold]])),BlankTegn)</f>
        <v>.</v>
      </c>
      <c r="AN55"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55"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55" s="245" t="str">
        <f>IFERROR(IF(Tidstabel[[#This Row],[År]]&gt;Input_Tidshorisont,BlankTegn,
IF(Tidstabel[[#This Row],[År]]=0,Tidstabel[[#This Row],[KF_Udskiftning_Komponent]],AP54+Tidstabel[[#This Row],[KF_Udskiftning_Komponent]])),BlankTegn)</f>
        <v>.</v>
      </c>
      <c r="AQ55" s="245">
        <f>IF(Tidstabel[[#This Row],[År]]&gt;Input_Tidshorisont,BlankTegn,
IF(Tidstabel[[#This Row],[År]]=0,-SUM(Engangsudgifter[Udgift]),0))</f>
        <v>0</v>
      </c>
      <c r="AR55" s="245">
        <f>IFERROR(IF(Tidstabel[[#This Row],[År]]&gt;Input_Tidshorisont,BlankTegn,
IF(Tidstabel[[#This Row],[År]]=0,Tidstabel[[#This Row],[KF_Engangsudgifter]],AR54+Tidstabel[[#This Row],[KF_Engangsudgifter]])),BlankTegn)</f>
        <v>0</v>
      </c>
      <c r="AS55" s="315" t="str">
        <f>IFERROR(IF(Tidstabel[[#This Row],[År]]&gt;Input_Tidshorisont,BlankTegn,
-Energibesparelse_Årlig),BlankTegn)</f>
        <v>.</v>
      </c>
      <c r="AT55" s="245" t="str">
        <f>IFERROR(IF(Tidstabel[[#This Row],[År]]&gt;Input_Tidshorisont,BlankTegn,
IF(Tidstabel[[#This Row],[År]]=0,0,-Tidstabel[[#This Row],[KF_Energiforbrug]]*Input_Fjernvarmepris*((1+Tidstabel[[#This Row],[Kalkulationsrente]])^-Tidstabel[[#This Row],[År]])*((1+PrisudviklingFjernvarme)^Tidstabel[[#This Row],[År]]))),BlankTegn)</f>
        <v>.</v>
      </c>
      <c r="AU55" s="262" t="str">
        <f>IFERROR(IF(Tidstabel[[#This Row],[År]]&gt;Input_Tidshorisont,BlankTegn,
IF(Tidstabel[[#This Row],[År]]=0,Tidstabel[[#This Row],[KF_Forsyning]],AU54+Tidstabel[[#This Row],[KF_Forsyning]])),BlankTegn)</f>
        <v>.</v>
      </c>
      <c r="AV55" s="245">
        <f>IFERROR(IF(Tidstabel[[#This Row],[År]]&gt;Input_Tidshorisont,BlankTegn,
IF(Tidstabel[[#This Row],[År]]=0,-FB_Enhedspris,0)),BlankTegn)</f>
        <v>0</v>
      </c>
      <c r="AW55" s="245" t="str">
        <f>IFERROR(IF(Tidstabel[[#This Row],[År]]&gt;Input_Tidshorisont,BlankTegn,
IF(Tidstabel[[#This Row],[År]]=0,FB_Enhedspris/FB_Levetid,AW54*((1+Tidstabel[[#This Row],[Kalkulationsrente]])^-1)*((1+PrisudviklingGenerelt)^1))),BlankTegn)</f>
        <v>.</v>
      </c>
      <c r="AX55" s="178" t="str">
        <f ca="1">IFERROR(IF(Tidstabel[[#This Row],[År]]&gt;Input_Tidshorisont,BlankTegn,
IF(FB_Vedligehold_i=1,IF(Tidstabel[[#This Row],[FB_Uds?]]=0,1,0),IF(MAX(AX54:OFFSET(AY54,2-FB_Vedligehold_i,0),Tidstabel[[#This Row],[FB_Uds?]])=0,1,0))),BlankTegn)</f>
        <v>.</v>
      </c>
      <c r="AY55" s="178" t="str">
        <f>IFERROR(IF(Tidstabel[[#This Row],[År]]&gt;Input_Tidshorisont,BlankTegn,
IF(Tidstabel[[#This Row],[År]]=0,1,IF(MOD(Tidstabel[[#This Row],[År]],FB_Levetid)=0,1,IF(Tidstabel[[#This Row],[År]]=Input_Tidshorisont,0,0)))),BlankTegn)</f>
        <v>.</v>
      </c>
      <c r="AZ55" s="245" t="str">
        <f ca="1">IFERROR(IF(Tidstabel[[#This Row],[År]]&gt;Input_Tidshorisont,BlankTegn,
FB_Vedligehold_p*-FB_Enhedspris*Tidstabel[[#This Row],[FB_Ved?]]*((1+Tidstabel[[#This Row],[Kalkulationsrente]])^-Tidstabel[[#This Row],[År]])*((1+PrisudviklingGenerelt)^Tidstabel[[#This Row],[År]])),BlankTegn)</f>
        <v>.</v>
      </c>
      <c r="BA55" s="245" t="str">
        <f>IFERROR(IF(Tidstabel[[#This Row],[År]]&gt;Input_Tidshorisont,BlankTegn,
IF(Tidstabel[[#This Row],[År]]=0,FB_Enhedspris,SUM(BA54:BB54)*((1+Tidstabel[[#This Row],[Kalkulationsrente]])^-1)*((1+PrisudviklingGenerelt)^1)-Tidstabel[[#This Row],[FB_Afskrivning]])),BlankTegn)</f>
        <v>.</v>
      </c>
      <c r="BB55" s="245" t="str">
        <f>IFERROR(IF(Tidstabel[[#This Row],[År]]&gt;Input_Tidshorisont,BlankTegn,
IF(Tidstabel[[#This Row],[År]]=0,0,Tidstabel[[#This Row],[FB_Uds?]]*FB_Enhedspris*((1+Tidstabel[[#This Row],[Kalkulationsrente]])^-Tidstabel[[#This Row],[År]])*((1+PrisudviklingGenerelt)^Tidstabel[[#This Row],[År]]))),BlankTegn)</f>
        <v>.</v>
      </c>
      <c r="BC55" s="262" t="str">
        <f>IFERROR(IF(Tidstabel[[#This Row],[År]]&gt;Input_Tidshorisont,BlankTegn,
IF(Tidstabel[[#This Row],[År]]=0,0,Tidstabel[[#This Row],[FB_Uds?]]*-FB_Enhedspris*FB_Genoprettelse*((1+Tidstabel[[#This Row],[Kalkulationsrente]])^-Tidstabel[[#This Row],[År]])*((1+PrisudviklingGenerelt)^Tidstabel[[#This Row],[År]]))),BlankTegn)</f>
        <v>.</v>
      </c>
      <c r="BD55" s="245">
        <f>IFERROR(IF(Tidstabel[[#This Row],[År]]&gt;Input_Tidshorisont,BlankTegn,
IF(Tidstabel[[#This Row],[År]]=0,-VS_Enhedspris,0)),BlankTegn)</f>
        <v>0</v>
      </c>
      <c r="BE55" s="245" t="str">
        <f>IFERROR(IF(Tidstabel[[#This Row],[År]]&gt;Input_Tidshorisont,BlankTegn,
IF(Tidstabel[[#This Row],[År]]=0,VS_Enhedspris/VS_Levetid,BE54*((1+Tidstabel[[#This Row],[Kalkulationsrente]])^-1)*((1+PrisudviklingGenerelt)^1))),BlankTegn)</f>
        <v>.</v>
      </c>
      <c r="BF55" s="178" t="str">
        <f ca="1">IFERROR(IF(Tidstabel[[#This Row],[År]]&gt;Input_Tidshorisont,BlankTegn,
IF(VS_Vedligehold_i=1,IF(Tidstabel[[#This Row],[VS_Uds?]]=0,1,0),IF(MAX(BF54:OFFSET(BG54,2-VS_Vedligehold_i,0),Tidstabel[[#This Row],[VS_Uds?]])=0,1,0))),BlankTegn)</f>
        <v>.</v>
      </c>
      <c r="BG55" s="178" t="str">
        <f>IFERROR(IF(Tidstabel[[#This Row],[År]]&gt;Input_Tidshorisont,BlankTegn,
IF(Tidstabel[[#This Row],[År]]=0,1,IF(MOD(Tidstabel[[#This Row],[År]],VS_Levetid)=0,1,IF(Tidstabel[[#This Row],[År]]=Input_Tidshorisont,0,0)))),BlankTegn)</f>
        <v>.</v>
      </c>
      <c r="BH55" s="245" t="str">
        <f ca="1">IFERROR(IF(Tidstabel[[#This Row],[År]]&gt;Input_Tidshorisont,BlankTegn,
VS_Vedligehold_p*-VS_Enhedspris*Tidstabel[[#This Row],[VS_Ved?]]*((1+Tidstabel[[#This Row],[Kalkulationsrente]])^-Tidstabel[[#This Row],[År]])*((1+PrisudviklingGenerelt)^Tidstabel[[#This Row],[År]])),BlankTegn)</f>
        <v>.</v>
      </c>
      <c r="BI55" s="245" t="str">
        <f>IFERROR(IF(Tidstabel[[#This Row],[År]]&gt;Input_Tidshorisont,BlankTegn,
IF(Tidstabel[[#This Row],[År]]=0,VS_Enhedspris,SUM(BI54:BJ54)*((1+Tidstabel[[#This Row],[Kalkulationsrente]])^-1)*((1+PrisudviklingGenerelt)^1)-Tidstabel[[#This Row],[VS_Afskrivning]])),BlankTegn)</f>
        <v>.</v>
      </c>
      <c r="BJ55" s="245" t="str">
        <f>IFERROR(IF(Tidstabel[[#This Row],[År]]&gt;Input_Tidshorisont,BlankTegn,
IF(Tidstabel[[#This Row],[År]]=0,0,Tidstabel[[#This Row],[VS_Uds?]]*VS_Enhedspris*((1+Tidstabel[[#This Row],[Kalkulationsrente]])^-Tidstabel[[#This Row],[År]])*((1+PrisudviklingGenerelt)^Tidstabel[[#This Row],[År]]))),BlankTegn)</f>
        <v>.</v>
      </c>
      <c r="BK55" s="262" t="str">
        <f>IFERROR(IF(Tidstabel[[#This Row],[År]]&gt;Input_Tidshorisont,BlankTegn,
IF(Tidstabel[[#This Row],[År]]=0,0,Tidstabel[[#This Row],[VS_Uds?]]*-VS_Enhedspris*VS_Genoprettelse*((1+Tidstabel[[#This Row],[Kalkulationsrente]])^-Tidstabel[[#This Row],[År]])*((1+PrisudviklingGenerelt)^Tidstabel[[#This Row],[År]]))),BlankTegn)</f>
        <v>.</v>
      </c>
      <c r="BL55" s="245">
        <f>IFERROR(IF(Tidstabel[[#This Row],[År]]&gt;Input_Tidshorisont,BlankTegn,
IF(Tidstabel[[#This Row],[År]]=0,-EI_Enhedspris,0)),BlankTegn)</f>
        <v>0</v>
      </c>
      <c r="BM55" s="245" t="str">
        <f>IFERROR(IF(Tidstabel[[#This Row],[År]]&gt;Input_Tidshorisont,BlankTegn,
IF(Tidstabel[[#This Row],[År]]=0,EI_Enhedspris/EI_Levetid,BM54*((1+Tidstabel[[#This Row],[Kalkulationsrente]])^-1)*((1+PrisudviklingGenerelt)^1))),BlankTegn)</f>
        <v>.</v>
      </c>
      <c r="BN55" s="178" t="str">
        <f ca="1">IFERROR(IF(Tidstabel[[#This Row],[År]]&gt;Input_Tidshorisont,BlankTegn,
IF(EI_Vedligehold_i=1,IF(Tidstabel[[#This Row],[EI_Uds?]]=0,1,0),IF(MAX(BN54:OFFSET(BO54,2-EI_Vedligehold_i,0),Tidstabel[[#This Row],[EI_Uds?]])=0,1,0))),BlankTegn)</f>
        <v>.</v>
      </c>
      <c r="BO55" s="178" t="str">
        <f>IFERROR(IF(Tidstabel[[#This Row],[År]]&gt;Input_Tidshorisont,BlankTegn,
IF(Tidstabel[[#This Row],[År]]=0,1,IF(MOD(Tidstabel[[#This Row],[År]],EI_Levetid)=0,1,IF(Tidstabel[[#This Row],[År]]=Input_Tidshorisont,0,0)))),BlankTegn)</f>
        <v>.</v>
      </c>
      <c r="BP55" s="245" t="str">
        <f ca="1">IFERROR(IF(Tidstabel[[#This Row],[År]]&gt;Input_Tidshorisont,BlankTegn,
EI_Vedligehold_p*-EI_Enhedspris*Tidstabel[[#This Row],[EI_Ved?]]*((1+Tidstabel[[#This Row],[Kalkulationsrente]])^-Tidstabel[[#This Row],[År]])*((1+PrisudviklingGenerelt)^Tidstabel[[#This Row],[År]])),BlankTegn)</f>
        <v>.</v>
      </c>
      <c r="BQ55" s="245" t="str">
        <f>IFERROR(IF(Tidstabel[[#This Row],[År]]&gt;Input_Tidshorisont,BlankTegn,
IF(Tidstabel[[#This Row],[År]]=0,EI_Enhedspris,SUM(BQ54:BR54)*((1+Tidstabel[[#This Row],[Kalkulationsrente]])^-1)*((1+PrisudviklingGenerelt)^1)-Tidstabel[[#This Row],[EI_Afskrivning]])),BlankTegn)</f>
        <v>.</v>
      </c>
      <c r="BR55" s="245" t="str">
        <f>IFERROR(IF(Tidstabel[[#This Row],[År]]&gt;Input_Tidshorisont,BlankTegn,
IF(Tidstabel[[#This Row],[År]]=0,0,Tidstabel[[#This Row],[EI_Uds?]]*EI_Enhedspris*((1+Tidstabel[[#This Row],[Kalkulationsrente]])^-Tidstabel[[#This Row],[År]])*((1+PrisudviklingGenerelt)^Tidstabel[[#This Row],[År]]))),BlankTegn)</f>
        <v>.</v>
      </c>
      <c r="BS55" s="262" t="str">
        <f>IFERROR(IF(Tidstabel[[#This Row],[År]]&gt;Input_Tidshorisont,BlankTegn,
IF(Tidstabel[[#This Row],[År]]=0,0,Tidstabel[[#This Row],[EI_Uds?]]*-EI_Enhedspris*EI_Genoprettelse*((1+Tidstabel[[#This Row],[Kalkulationsrente]])^-Tidstabel[[#This Row],[År]])*((1+PrisudviklingGenerelt)^Tidstabel[[#This Row],[År]]))),BlankTegn)</f>
        <v>.</v>
      </c>
      <c r="BT55" s="245">
        <f>IFERROR(IF(Tidstabel[[#This Row],[År]]&gt;Input_Tidshorisont,BlankTegn,
IF(Tidstabel[[#This Row],[År]]=0,-AP_Enhedspris,0)),BlankTegn)</f>
        <v>0</v>
      </c>
      <c r="BU55" s="245" t="str">
        <f>IFERROR(IF(Tidstabel[[#This Row],[År]]&gt;Input_Tidshorisont,BlankTegn,
IF(Tidstabel[[#This Row],[År]]=0,AP_Enhedspris/AP_Levetid,BU54*((1+Tidstabel[[#This Row],[Kalkulationsrente]])^-1)*((1+PrisudviklingGenerelt)^1))),BlankTegn)</f>
        <v>.</v>
      </c>
      <c r="BV55" s="178" t="str">
        <f ca="1">IFERROR(IF(Tidstabel[[#This Row],[År]]&gt;Input_Tidshorisont,BlankTegn,
IF(AP_Vedligehold_i=1,IF(Tidstabel[[#This Row],[AP_Uds?]]=0,1,0),IF(MAX(BV54:OFFSET(BW54,2-AP_Vedligehold_i,0),Tidstabel[[#This Row],[AP_Uds?]])=0,1,0))),BlankTegn)</f>
        <v>.</v>
      </c>
      <c r="BW55" s="178" t="str">
        <f>IFERROR(IF(Tidstabel[[#This Row],[År]]&gt;Input_Tidshorisont,BlankTegn,
IF(Tidstabel[[#This Row],[År]]=0,1,IF(MOD(Tidstabel[[#This Row],[År]],AP_Levetid)=0,1,IF(Tidstabel[[#This Row],[År]]=Input_Tidshorisont,0,0)))),BlankTegn)</f>
        <v>.</v>
      </c>
      <c r="BX55" s="245" t="str">
        <f ca="1">IFERROR(IF(Tidstabel[[#This Row],[År]]&gt;Input_Tidshorisont,BlankTegn,
AP_Vedligehold_p*-AP_Enhedspris*Tidstabel[[#This Row],[AP_Ved?]]*((1+Tidstabel[[#This Row],[Kalkulationsrente]])^-Tidstabel[[#This Row],[År]])*((1+PrisudviklingGenerelt)^Tidstabel[[#This Row],[År]])),BlankTegn)</f>
        <v>.</v>
      </c>
      <c r="BY55" s="245" t="str">
        <f>IFERROR(IF(Tidstabel[[#This Row],[År]]&gt;Input_Tidshorisont,BlankTegn,
IF(Tidstabel[[#This Row],[År]]=0,AP_Enhedspris,SUM(BY54:BZ54)*((1+Tidstabel[[#This Row],[Kalkulationsrente]])^-1)*((1+PrisudviklingGenerelt)^1)-Tidstabel[[#This Row],[AP_Afskrivning]])),BlankTegn)</f>
        <v>.</v>
      </c>
      <c r="BZ55" s="245" t="str">
        <f>IFERROR(IF(Tidstabel[[#This Row],[År]]&gt;Input_Tidshorisont,BlankTegn,
IF(Tidstabel[[#This Row],[År]]=0,0,Tidstabel[[#This Row],[AP_Uds?]]*AP_Enhedspris*((1+Tidstabel[[#This Row],[Kalkulationsrente]])^-Tidstabel[[#This Row],[År]])*((1+PrisudviklingGenerelt)^Tidstabel[[#This Row],[År]]))),BlankTegn)</f>
        <v>.</v>
      </c>
      <c r="CA55" s="262" t="str">
        <f>IFERROR(IF(Tidstabel[[#This Row],[År]]&gt;Input_Tidshorisont,BlankTegn,
IF(Tidstabel[[#This Row],[År]]=0,0,Tidstabel[[#This Row],[AP_Uds?]]*-AP_Enhedspris*AP_Genoprettelse*((1+Tidstabel[[#This Row],[Kalkulationsrente]])^-Tidstabel[[#This Row],[År]])*((1+PrisudviklingGenerelt)^Tidstabel[[#This Row],[År]]))),BlankTegn)</f>
        <v>.</v>
      </c>
      <c r="CB55" s="245">
        <f>IFERROR(IF(Tidstabel[[#This Row],[År]]&gt;Input_Tidshorisont,BlankTegn,
IF(Tidstabel[[#This Row],[År]]=0,-SK_Enhedspris,0)),BlankTegn)</f>
        <v>0</v>
      </c>
      <c r="CC55" s="245" t="str">
        <f>IFERROR(IF(Tidstabel[[#This Row],[År]]&gt;Input_Tidshorisont,BlankTegn,
IF(Tidstabel[[#This Row],[År]]=0,SK_Enhedspris/SK_Levetid,CC54*((1+Tidstabel[[#This Row],[Kalkulationsrente]])^-1)*((1+PrisudviklingGenerelt)^1))),BlankTegn)</f>
        <v>.</v>
      </c>
      <c r="CD55" s="178" t="str">
        <f ca="1">IFERROR(IF(Tidstabel[[#This Row],[År]]&gt;Input_Tidshorisont,BlankTegn,
IF(SK_Vedligehold_i=1,IF(Tidstabel[[#This Row],[SK_Uds?]]=0,1,0),IF(MAX(CD54:OFFSET(CE54,2-SK_Vedligehold_i,0),Tidstabel[[#This Row],[SK_Uds?]])=0,1,0))),BlankTegn)</f>
        <v>.</v>
      </c>
      <c r="CE55" s="178" t="str">
        <f>IFERROR(IF(Tidstabel[[#This Row],[År]]&gt;Input_Tidshorisont,BlankTegn,
IF(Tidstabel[[#This Row],[År]]=0,1,IF(MOD(Tidstabel[[#This Row],[År]],SK_Levetid)=0,1,IF(Tidstabel[[#This Row],[År]]=Input_Tidshorisont,0,0)))),BlankTegn)</f>
        <v>.</v>
      </c>
      <c r="CF55" s="245" t="str">
        <f ca="1">IFERROR(IF(Tidstabel[[#This Row],[År]]&gt;Input_Tidshorisont,BlankTegn,
SK_Vedligehold_p*-SK_Enhedspris*Tidstabel[[#This Row],[SK_Ved?]]*((1+Tidstabel[[#This Row],[Kalkulationsrente]])^-Tidstabel[[#This Row],[År]])*((1+PrisudviklingGenerelt)^Tidstabel[[#This Row],[År]])),BlankTegn)</f>
        <v>.</v>
      </c>
      <c r="CG55" s="245" t="str">
        <f>IFERROR(IF(Tidstabel[[#This Row],[År]]&gt;Input_Tidshorisont,BlankTegn,
IF(Tidstabel[[#This Row],[År]]=0,SK_Enhedspris,SUM(CG54:CH54)*((1+Tidstabel[[#This Row],[Kalkulationsrente]])^-1)*((1+PrisudviklingGenerelt)^1)-Tidstabel[[#This Row],[SK_Afskrivning]])),BlankTegn)</f>
        <v>.</v>
      </c>
      <c r="CH55" s="245" t="str">
        <f>IFERROR(IF(Tidstabel[[#This Row],[År]]&gt;Input_Tidshorisont,BlankTegn,
IF(Tidstabel[[#This Row],[År]]=0,0,Tidstabel[[#This Row],[SK_Uds?]]*SK_Enhedspris*((1+Tidstabel[[#This Row],[Kalkulationsrente]])^-Tidstabel[[#This Row],[År]])*((1+PrisudviklingGenerelt)^Tidstabel[[#This Row],[År]]))),BlankTegn)</f>
        <v>.</v>
      </c>
      <c r="CI55" s="262" t="str">
        <f>IFERROR(IF(Tidstabel[[#This Row],[År]]&gt;Input_Tidshorisont,BlankTegn,
IF(Tidstabel[[#This Row],[År]]=0,0,Tidstabel[[#This Row],[SK_Uds?]]*-SK_Enhedspris*SK_Genoprettelse*((1+Tidstabel[[#This Row],[Kalkulationsrente]])^-Tidstabel[[#This Row],[År]])*((1+PrisudviklingGenerelt)^Tidstabel[[#This Row],[År]]))),BlankTegn)</f>
        <v>.</v>
      </c>
      <c r="CJ55" s="19"/>
    </row>
    <row r="56" spans="1:88">
      <c r="A56" s="250">
        <v>49</v>
      </c>
      <c r="B56" s="250">
        <f>Input_Etableringsår+Tidstabel[[#This Row],[År]]</f>
        <v>2073</v>
      </c>
      <c r="C56" s="274" cm="1">
        <f t="array" ref="C56">_xlfn.IFS(Tidstabel[[#This Row],[År]]&gt;KR_Trin3_Tærskel,KR_Trin3_Rente,Tidstabel[[#This Row],[År]]&gt;KR_Trin2_Tærskel,KR_Trin2_Rente,Tidstabel[[#This Row],[År]]&gt;KR_Trin1_Tærskel,KR_Trin1_Rente,Tidstabel[[#This Row],[År]]&gt;KR_Trin0_Tærskel,KR_Trin0_Rente)</f>
        <v>2.5000000000000001E-2</v>
      </c>
      <c r="D56" s="142" t="str" cm="1">
        <f t="array" ref="D56">IFERROR(
INDEX(Range_Materiale_ÅrligeEmissioner,MATCH(1,(Materialedata[Komponent]=FB_Titel)*(Materialedata[Materiale]=FB_Materiale),0),MATCH(Tidstabel[[#This Row],[År]],Range_Materiale_År,0)),BlankTegn)</f>
        <v>.</v>
      </c>
      <c r="E56" s="142" t="str" cm="1">
        <f t="array" ref="E56">IFERROR(
INDEX(Range_Materiale_ÅrligeEmissioner,MATCH(1,(Materialedata[Komponent]=SK_Titel)*(Materialedata[Materiale]=SK_Materiale),0),MATCH(Tidstabel[[#This Row],[År]],Range_Materiale_År,0)),BlankTegn)</f>
        <v>.</v>
      </c>
      <c r="F56" s="142" t="str" cm="1">
        <f t="array" ref="F56">IFERROR(
INDEX(Range_Materiale_ÅrligeEmissioner,MATCH(1,(Materialedata[Komponent]=EI_Titel)*(Materialedata[Materiale]=EI_Materiale),0),MATCH(Tidstabel[[#This Row],[År]],Range_Materiale_År,0)),BlankTegn)</f>
        <v>.</v>
      </c>
      <c r="G56" s="142" t="str" cm="1">
        <f t="array" ref="G56">IFERROR(
INDEX(Range_Materiale_ÅrligeEmissioner,MATCH(1,(Materialedata[Komponent]=AP_Titel)*(Materialedata[Materiale]=AP_Materiale),0),MATCH(Tidstabel[[#This Row],[År]],Range_Materiale_År,0)),BlankTegn)</f>
        <v>.</v>
      </c>
      <c r="H56" s="142" t="str" cm="1">
        <f t="array" ref="H56">IFERROR(
INDEX(Range_Materiale_ÅrligeEmissioner,MATCH(1,(Materialedata[Komponent]=VS_Titel)*(Materialedata[Materiale]=VS_Materiale),0),MATCH(Tidstabel[[#This Row],[År]],Range_Materiale_År,0)),BlankTegn)</f>
        <v>.</v>
      </c>
      <c r="I56" s="142" t="str">
        <f>IFERROR(
IF(SUM(Tidstabel[[#This Row],[Facadebeklædning]:[Vindspærre]])=0,BlankTegn,
SUM(Tidstabel[[#This Row],[Facadebeklædning]:[Vindspærre]])),BlankTegn)</f>
        <v>.</v>
      </c>
      <c r="J56" s="139">
        <f>IF(Tidstabel[[#This Row],[År]]&gt;Input_Tidshorisont,BlankTegn,
A5_ElVarmeBrændstofByggeplads)</f>
        <v>0.25</v>
      </c>
      <c r="K56" s="142" t="str">
        <f>IFERROR(IF(Tidstabel[[#This Row],[År]]&gt;Input_Tidshorisont,BlankTegn,
-1*INDEX(Range_Energi_ÅrligBesparelse,MATCH(Input_EksisterendeFacade,Energiberegning[Ydervæg],0),MATCH(Tidstabel[[#This Row],[Årstal]],Range_Energi_Årstal,0))),BlankTegn)</f>
        <v>.</v>
      </c>
      <c r="L56" s="142">
        <f>IF(Tidstabel[[#This Row],[År]]&gt;Input_Tidshorisont,BlankTegn,
(Tidstabel[[#This Row],[År]]+1)*(SUM(Vedligeholdelsesmaterialer[Facadefarve],Vedligeholdelsesmaterialer[Grunder og mellemmaling])/12+SUM(Vedligeholdelsesmaterialer[Puds])/30))</f>
        <v>16.242714291666665</v>
      </c>
      <c r="M56" s="142" t="str">
        <f>IFERROR(IF(Tidstabel[[#This Row],[År]]&gt;Input_Tidshorisont,BlankTegn,
Tidstabel[[#This Row],[Materialer_Total]]+Tidstabel[[#This Row],[Byggeprocess]]),BlankTegn)</f>
        <v>.</v>
      </c>
      <c r="N56" s="142" t="str">
        <f>IFERROR(IF(Tidstabel[[#This Row],[År]]&gt;Input_Tidshorisont,BlankTegn,
Tidstabel[[#This Row],[Energibesparelse]]+Tidstabel[[#This Row],[Emission_Brutto]]),BlankTegn)</f>
        <v>.</v>
      </c>
      <c r="O56" s="142" t="str">
        <f>IFERROR(IF(Tidstabel[[#This Row],[År]]&gt;Input_Tidshorisont,BlankTegn,
Tidstabel[[#This Row],[Emission_Netto]]-Tidstabel[[#This Row],[Vedligehold_EksisterendeFacade]]),BlankTegn)</f>
        <v>.</v>
      </c>
      <c r="P56" s="271" t="str">
        <f>IFERROR(IF(Tidstabel[[#This Row],[År]]&gt;Input_Tidshorisont,BlankTegn,
IF(AND(Tidstabel[[#This Row],[Emission_Netto]]-Tidstabel[[#This Row],[Vedligehold_EksisterendeFacade]]&gt;0,N57-L57&lt;0),-1,IF(AND(Tidstabel[[#This Row],[Emission_Netto]]-Tidstabel[[#This Row],[Vedligehold_EksisterendeFacade]]&lt;0,N57-L57&gt;0),1,0))),BlankTegn)</f>
        <v>.</v>
      </c>
      <c r="Q56" s="174" t="str">
        <f>IF(Tidstabel[[#This Row],[År]]&gt;Input_Tidshorisont,BlankTegn,
IF(Tidstabel[[#This Row],[LCA-Skæring]]=-1,SUM(Tidstabel[[#This Row],[År]]*(1-ABS(Tidstabel[[#This Row],[LCA-Difference]])/(ABS(Tidstabel[[#This Row],[LCA-Difference]])+ABS(O57))),A57*(1-ABS(O57)/(ABS(Tidstabel[[#This Row],[LCA-Difference]])+ABS(O57)))),"-"))</f>
        <v>-</v>
      </c>
      <c r="R56" s="174" t="str">
        <f>IF(Tidstabel[[#This Row],[År]]&gt;Input_Tidshorisont,BlankTegn,
IF(Tidstabel[[#This Row],[LCA-Skæring]]=-1,SUM(Tidstabel[[#This Row],[Emission_Netto]]*(1-ABS(Tidstabel[[#This Row],[LCA-Difference]])/(ABS(Tidstabel[[#This Row],[LCA-Difference]])+ABS(O57))),N57*(1-ABS(O57)/(ABS(Tidstabel[[#This Row],[LCA-Difference]])+ABS(O57)))),"-"))</f>
        <v>-</v>
      </c>
      <c r="S56" s="174" t="str">
        <f>IF(Tidstabel[[#This Row],[År]]&gt;Input_Tidshorisont,BlankTegn,
IF(Tidstabel[[#This Row],[LCA-Skæring]]=1,SUM(Tidstabel[[#This Row],[År]]*(1-ABS(Tidstabel[[#This Row],[LCA-Difference]])/(ABS(Tidstabel[[#This Row],[LCA-Difference]])+ABS(O57))),A57*(1-ABS(O57)/(ABS(Tidstabel[[#This Row],[LCA-Difference]])+ABS(O57)))),"-"))</f>
        <v>-</v>
      </c>
      <c r="T56" s="264" t="str">
        <f>IF(Tidstabel[[#This Row],[År]]&gt;Input_Tidshorisont,BlankTegn,
IF(Tidstabel[[#This Row],[LCA-Skæring]]=1,SUM(Tidstabel[[#This Row],[Emission_Netto]]*(1-ABS(Tidstabel[[#This Row],[LCA-Difference]])/(ABS(Tidstabel[[#This Row],[LCA-Difference]])+ABS(O57))),N57*(1-ABS(O57)/(ABS(Tidstabel[[#This Row],[LCA-Difference]])+ABS(O57)))),"-"))</f>
        <v>-</v>
      </c>
      <c r="U56" s="142" t="str">
        <f ca="1">IFERROR(IF(Tidstabel[[#This Row],[År]]&gt;Input_Tidshorisont,BlankTegn,
Tidstabel[[#This Row],[NPV_Klimafacade]]-Tidstabel[[#This Row],[NPV_Eksisterende]]),BlankTegn)</f>
        <v>.</v>
      </c>
      <c r="V56" s="271" t="str">
        <f ca="1">IFERROR(IF(Tidstabel[[#This Row],[År]]&gt;Input_Tidshorisont,BlankTegn,
IF(AND(Tidstabel[[#This Row],[NPV_Klimafacade]]-Tidstabel[[#This Row],[NPV_Eksisterende]]&gt;0,AB57-AA57&lt;0),1,IF(AND(Tidstabel[[#This Row],[NPV_Klimafacade]]-Tidstabel[[#This Row],[NPV_Eksisterende]]&lt;0,AB57-AA57&gt;0),-1,0))),BlankTegn)</f>
        <v>.</v>
      </c>
      <c r="W56" s="174" t="str">
        <f ca="1">IF(Tidstabel[[#This Row],[År]]&gt;Input_Tidshorisont,BlankTegn,
IF(Tidstabel[[#This Row],[LCC-Skæring]]=-1,SUM(Tidstabel[[#This Row],[År]]*(1-ABS(Tidstabel[[#This Row],[LCC-Difference]])/(ABS(Tidstabel[[#This Row],[LCC-Difference]])+ABS(U57))),A57*(1-ABS(U57)/(ABS(Tidstabel[[#This Row],[LCC-Difference]])+ABS(U57)))),"-"))</f>
        <v>-</v>
      </c>
      <c r="X56" s="174" t="str">
        <f ca="1">IF(Tidstabel[[#This Row],[År]]&gt;Input_Tidshorisont,BlankTegn,
IF(Tidstabel[[#This Row],[LCC-Skæring]]=-1,SUM(Tidstabel[[#This Row],[NPV_Klimafacade]]*(1-ABS(Tidstabel[[#This Row],[LCC-Difference]])/(ABS(Tidstabel[[#This Row],[LCC-Difference]])+ABS(U57))),AB57*(1-ABS(U57)/(ABS(Tidstabel[[#This Row],[LCC-Difference]])+ABS(U57)))),"-"))</f>
        <v>-</v>
      </c>
      <c r="Y56" s="174" t="str">
        <f ca="1">IF(Tidstabel[[#This Row],[År]]&gt;Input_Tidshorisont,BlankTegn,
IF(Tidstabel[[#This Row],[LCC-Skæring]]=1,SUM(Tidstabel[[#This Row],[År]]*(1-ABS(Tidstabel[[#This Row],[LCC-Difference]])/(ABS(Tidstabel[[#This Row],[LCC-Difference]])+ABS(U57))),A57*(1-ABS(U57)/(ABS(Tidstabel[[#This Row],[LCC-Difference]])+ABS(U57)))),"-"))</f>
        <v>-</v>
      </c>
      <c r="Z56" s="264" t="str">
        <f ca="1">IF(Tidstabel[[#This Row],[År]]&gt;Input_Tidshorisont,BlankTegn,
IF(Tidstabel[[#This Row],[LCC-Skæring]]=1,SUM(Tidstabel[[#This Row],[NPV_Klimafacade]]*(1-ABS(Tidstabel[[#This Row],[LCC-Difference]])/(ABS(Tidstabel[[#This Row],[LCC-Difference]])+ABS(U57))),AB57*(1-ABS(U57)/(ABS(Tidstabel[[#This Row],[LCC-Difference]])+ABS(U57)))),"-"))</f>
        <v>-</v>
      </c>
      <c r="AA56" s="142">
        <f ca="1">IF(Tidstabel[[#This Row],[År]]&gt;Input_Tidshorisont,BlankTegn,
Tidstabel[[#This Row],[EF_Vedligehold_Aggregeret]])</f>
        <v>-276.07669600634284</v>
      </c>
      <c r="AB56"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56" s="142" t="str">
        <f>IFERROR(IF(Tidstabel[[#This Row],[År]]&gt;Input_Tidshorisont,BlankTegn,
Tidstabel[[#This Row],[KF_Anskaffelse_Aggregeret]]+Tidstabel[[#This Row],[KF_Engangsudgifter_Aggregeret]]),BlankTegn)</f>
        <v>.</v>
      </c>
      <c r="AD56" s="174">
        <f ca="1">IFERROR(IF(Tidstabel[[#This Row],[År]]&gt;Input_Tidshorisont,BlankTegn,
IF(Tidstabel[[#This Row],[År]]=0,0,Tidstabel[[#This Row],[NPV_Eksisterende]]*(Tidstabel[[#This Row],[Kalkulationsrente]]/(1-(1+Tidstabel[[#This Row],[Kalkulationsrente]])^-Tidstabel[[#This Row],[År]])))),BlankTegn)</f>
        <v>-9.8348139472230063</v>
      </c>
      <c r="AE56" s="264" t="str">
        <f ca="1">IFERROR(IF(Tidstabel[[#This Row],[År]]&gt;Input_Tidshorisont,BlankTegn,
IF(Tidstabel[[#This Row],[År]]=0,0,Tidstabel[[#This Row],[NPV_Klimafacade]]*(Tidstabel[[#This Row],[Kalkulationsrente]]/(1-(1+Tidstabel[[#This Row],[Kalkulationsrente]])^-Tidstabel[[#This Row],[År]])))),BlankTegn)</f>
        <v>.</v>
      </c>
      <c r="AF56" s="270">
        <f ca="1">IF(Tidstabel[[#This Row],[År]]&gt;Input_Tidshorisont,BlankTegn,
IF(EF_Vedligehold_i=1,IF(Tidstabel[[#This Row],[EF_Uds?]]=0,1,0),IF(MAX(AF55:OFFSET(AG55,2-EF_Vedligehold_i,0),Tidstabel[[#This Row],[EF_Uds?]])=0,1,0)))</f>
        <v>1</v>
      </c>
      <c r="AG56" s="181">
        <f>IF(Tidstabel[[#This Row],[År]]&gt;Input_Tidshorisont,BlankTegn,0)</f>
        <v>0</v>
      </c>
      <c r="AH56" s="263">
        <f ca="1">IF(Tidstabel[[#This Row],[År]]&gt;Input_Tidshorisont,BlankTegn,
Tidstabel[[#This Row],[EF_Ved?]]*EF_Vedligehold_p*-EF_Enhedspris*((1+Tidstabel[[#This Row],[Kalkulationsrente]])^-Tidstabel[[#This Row],[År]])*((1+PrisudviklingGenerelt)^Tidstabel[[#This Row],[År]]))</f>
        <v>-3.1754859866083525</v>
      </c>
      <c r="AI56" s="262">
        <f ca="1">IF(Tidstabel[[#This Row],[År]]&gt;Input_Tidshorisont,BlankTegn,
IF(Tidstabel[[#This Row],[År]]=0,Tidstabel[[#This Row],[EF_Vedligehold]],AI55+Tidstabel[[#This Row],[EF_Vedligehold]]))</f>
        <v>-276.07669600634284</v>
      </c>
      <c r="AJ56" s="245">
        <f>IFERROR(IF(Tidstabel[[#This Row],[År]]&gt;Input_Tidshorisont,BlankTegn,
Tidstabel[[#This Row],[FB_Anskaffelse]]+Tidstabel[[#This Row],[VS_Anskaffelse]]+Tidstabel[[#This Row],[EI_Anskaffelse]]+Tidstabel[[#This Row],[AP_Anskaffelse]]+Tidstabel[[#This Row],[SK_Anskaffelse]]),BlankTegn)</f>
        <v>0</v>
      </c>
      <c r="AK56" s="245" t="str">
        <f>IFERROR(IF(Tidstabel[[#This Row],[År]]&gt;Input_Tidshorisont,BlankTegn,
IF(Tidstabel[[#This Row],[År]]=0,Tidstabel[[#This Row],[KF_Anskaffelse]],AK55+Tidstabel[[#This Row],[KF_Anskaffelse]])),BlankTegn)</f>
        <v>.</v>
      </c>
      <c r="AL56" s="246" t="str">
        <f ca="1">IFERROR(IF(Tidstabel[[#This Row],[År]]&gt;Input_Tidshorisont,BlankTegn,
Tidstabel[[#This Row],[FB_Vedligehold]]+Tidstabel[[#This Row],[VS_Vedligehold]]+Tidstabel[[#This Row],[EI_Vedligehold]]+Tidstabel[[#This Row],[AP_Vedligehold]]+Tidstabel[[#This Row],[SK_Vedligehold]]),BlankTegn)</f>
        <v>.</v>
      </c>
      <c r="AM56" s="245" t="str">
        <f ca="1">IFERROR(IF(Tidstabel[[#This Row],[År]]&gt;Input_Tidshorisont,BlankTegn,
IF(Tidstabel[[#This Row],[År]]=0,Tidstabel[[#This Row],[KF_Vedligehold]],AM55+Tidstabel[[#This Row],[KF_Vedligehold]])),BlankTegn)</f>
        <v>.</v>
      </c>
      <c r="AN56"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56"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56" s="245" t="str">
        <f>IFERROR(IF(Tidstabel[[#This Row],[År]]&gt;Input_Tidshorisont,BlankTegn,
IF(Tidstabel[[#This Row],[År]]=0,Tidstabel[[#This Row],[KF_Udskiftning_Komponent]],AP55+Tidstabel[[#This Row],[KF_Udskiftning_Komponent]])),BlankTegn)</f>
        <v>.</v>
      </c>
      <c r="AQ56" s="245">
        <f>IF(Tidstabel[[#This Row],[År]]&gt;Input_Tidshorisont,BlankTegn,
IF(Tidstabel[[#This Row],[År]]=0,-SUM(Engangsudgifter[Udgift]),0))</f>
        <v>0</v>
      </c>
      <c r="AR56" s="245">
        <f>IFERROR(IF(Tidstabel[[#This Row],[År]]&gt;Input_Tidshorisont,BlankTegn,
IF(Tidstabel[[#This Row],[År]]=0,Tidstabel[[#This Row],[KF_Engangsudgifter]],AR55+Tidstabel[[#This Row],[KF_Engangsudgifter]])),BlankTegn)</f>
        <v>0</v>
      </c>
      <c r="AS56" s="315" t="str">
        <f>IFERROR(IF(Tidstabel[[#This Row],[År]]&gt;Input_Tidshorisont,BlankTegn,
-Energibesparelse_Årlig),BlankTegn)</f>
        <v>.</v>
      </c>
      <c r="AT56" s="245" t="str">
        <f>IFERROR(IF(Tidstabel[[#This Row],[År]]&gt;Input_Tidshorisont,BlankTegn,
IF(Tidstabel[[#This Row],[År]]=0,0,-Tidstabel[[#This Row],[KF_Energiforbrug]]*Input_Fjernvarmepris*((1+Tidstabel[[#This Row],[Kalkulationsrente]])^-Tidstabel[[#This Row],[År]])*((1+PrisudviklingFjernvarme)^Tidstabel[[#This Row],[År]]))),BlankTegn)</f>
        <v>.</v>
      </c>
      <c r="AU56" s="262" t="str">
        <f>IFERROR(IF(Tidstabel[[#This Row],[År]]&gt;Input_Tidshorisont,BlankTegn,
IF(Tidstabel[[#This Row],[År]]=0,Tidstabel[[#This Row],[KF_Forsyning]],AU55+Tidstabel[[#This Row],[KF_Forsyning]])),BlankTegn)</f>
        <v>.</v>
      </c>
      <c r="AV56" s="245">
        <f>IFERROR(IF(Tidstabel[[#This Row],[År]]&gt;Input_Tidshorisont,BlankTegn,
IF(Tidstabel[[#This Row],[År]]=0,-FB_Enhedspris,0)),BlankTegn)</f>
        <v>0</v>
      </c>
      <c r="AW56" s="245" t="str">
        <f>IFERROR(IF(Tidstabel[[#This Row],[År]]&gt;Input_Tidshorisont,BlankTegn,
IF(Tidstabel[[#This Row],[År]]=0,FB_Enhedspris/FB_Levetid,AW55*((1+Tidstabel[[#This Row],[Kalkulationsrente]])^-1)*((1+PrisudviklingGenerelt)^1))),BlankTegn)</f>
        <v>.</v>
      </c>
      <c r="AX56" s="178" t="str">
        <f ca="1">IFERROR(IF(Tidstabel[[#This Row],[År]]&gt;Input_Tidshorisont,BlankTegn,
IF(FB_Vedligehold_i=1,IF(Tidstabel[[#This Row],[FB_Uds?]]=0,1,0),IF(MAX(AX55:OFFSET(AY55,2-FB_Vedligehold_i,0),Tidstabel[[#This Row],[FB_Uds?]])=0,1,0))),BlankTegn)</f>
        <v>.</v>
      </c>
      <c r="AY56" s="178" t="str">
        <f>IFERROR(IF(Tidstabel[[#This Row],[År]]&gt;Input_Tidshorisont,BlankTegn,
IF(Tidstabel[[#This Row],[År]]=0,1,IF(MOD(Tidstabel[[#This Row],[År]],FB_Levetid)=0,1,IF(Tidstabel[[#This Row],[År]]=Input_Tidshorisont,0,0)))),BlankTegn)</f>
        <v>.</v>
      </c>
      <c r="AZ56" s="245" t="str">
        <f ca="1">IFERROR(IF(Tidstabel[[#This Row],[År]]&gt;Input_Tidshorisont,BlankTegn,
FB_Vedligehold_p*-FB_Enhedspris*Tidstabel[[#This Row],[FB_Ved?]]*((1+Tidstabel[[#This Row],[Kalkulationsrente]])^-Tidstabel[[#This Row],[År]])*((1+PrisudviklingGenerelt)^Tidstabel[[#This Row],[År]])),BlankTegn)</f>
        <v>.</v>
      </c>
      <c r="BA56" s="245" t="str">
        <f>IFERROR(IF(Tidstabel[[#This Row],[År]]&gt;Input_Tidshorisont,BlankTegn,
IF(Tidstabel[[#This Row],[År]]=0,FB_Enhedspris,SUM(BA55:BB55)*((1+Tidstabel[[#This Row],[Kalkulationsrente]])^-1)*((1+PrisudviklingGenerelt)^1)-Tidstabel[[#This Row],[FB_Afskrivning]])),BlankTegn)</f>
        <v>.</v>
      </c>
      <c r="BB56" s="245" t="str">
        <f>IFERROR(IF(Tidstabel[[#This Row],[År]]&gt;Input_Tidshorisont,BlankTegn,
IF(Tidstabel[[#This Row],[År]]=0,0,Tidstabel[[#This Row],[FB_Uds?]]*FB_Enhedspris*((1+Tidstabel[[#This Row],[Kalkulationsrente]])^-Tidstabel[[#This Row],[År]])*((1+PrisudviklingGenerelt)^Tidstabel[[#This Row],[År]]))),BlankTegn)</f>
        <v>.</v>
      </c>
      <c r="BC56" s="262" t="str">
        <f>IFERROR(IF(Tidstabel[[#This Row],[År]]&gt;Input_Tidshorisont,BlankTegn,
IF(Tidstabel[[#This Row],[År]]=0,0,Tidstabel[[#This Row],[FB_Uds?]]*-FB_Enhedspris*FB_Genoprettelse*((1+Tidstabel[[#This Row],[Kalkulationsrente]])^-Tidstabel[[#This Row],[År]])*((1+PrisudviklingGenerelt)^Tidstabel[[#This Row],[År]]))),BlankTegn)</f>
        <v>.</v>
      </c>
      <c r="BD56" s="245">
        <f>IFERROR(IF(Tidstabel[[#This Row],[År]]&gt;Input_Tidshorisont,BlankTegn,
IF(Tidstabel[[#This Row],[År]]=0,-VS_Enhedspris,0)),BlankTegn)</f>
        <v>0</v>
      </c>
      <c r="BE56" s="245" t="str">
        <f>IFERROR(IF(Tidstabel[[#This Row],[År]]&gt;Input_Tidshorisont,BlankTegn,
IF(Tidstabel[[#This Row],[År]]=0,VS_Enhedspris/VS_Levetid,BE55*((1+Tidstabel[[#This Row],[Kalkulationsrente]])^-1)*((1+PrisudviklingGenerelt)^1))),BlankTegn)</f>
        <v>.</v>
      </c>
      <c r="BF56" s="178" t="str">
        <f ca="1">IFERROR(IF(Tidstabel[[#This Row],[År]]&gt;Input_Tidshorisont,BlankTegn,
IF(VS_Vedligehold_i=1,IF(Tidstabel[[#This Row],[VS_Uds?]]=0,1,0),IF(MAX(BF55:OFFSET(BG55,2-VS_Vedligehold_i,0),Tidstabel[[#This Row],[VS_Uds?]])=0,1,0))),BlankTegn)</f>
        <v>.</v>
      </c>
      <c r="BG56" s="178" t="str">
        <f>IFERROR(IF(Tidstabel[[#This Row],[År]]&gt;Input_Tidshorisont,BlankTegn,
IF(Tidstabel[[#This Row],[År]]=0,1,IF(MOD(Tidstabel[[#This Row],[År]],VS_Levetid)=0,1,IF(Tidstabel[[#This Row],[År]]=Input_Tidshorisont,0,0)))),BlankTegn)</f>
        <v>.</v>
      </c>
      <c r="BH56" s="245" t="str">
        <f ca="1">IFERROR(IF(Tidstabel[[#This Row],[År]]&gt;Input_Tidshorisont,BlankTegn,
VS_Vedligehold_p*-VS_Enhedspris*Tidstabel[[#This Row],[VS_Ved?]]*((1+Tidstabel[[#This Row],[Kalkulationsrente]])^-Tidstabel[[#This Row],[År]])*((1+PrisudviklingGenerelt)^Tidstabel[[#This Row],[År]])),BlankTegn)</f>
        <v>.</v>
      </c>
      <c r="BI56" s="245" t="str">
        <f>IFERROR(IF(Tidstabel[[#This Row],[År]]&gt;Input_Tidshorisont,BlankTegn,
IF(Tidstabel[[#This Row],[År]]=0,VS_Enhedspris,SUM(BI55:BJ55)*((1+Tidstabel[[#This Row],[Kalkulationsrente]])^-1)*((1+PrisudviklingGenerelt)^1)-Tidstabel[[#This Row],[VS_Afskrivning]])),BlankTegn)</f>
        <v>.</v>
      </c>
      <c r="BJ56" s="245" t="str">
        <f>IFERROR(IF(Tidstabel[[#This Row],[År]]&gt;Input_Tidshorisont,BlankTegn,
IF(Tidstabel[[#This Row],[År]]=0,0,Tidstabel[[#This Row],[VS_Uds?]]*VS_Enhedspris*((1+Tidstabel[[#This Row],[Kalkulationsrente]])^-Tidstabel[[#This Row],[År]])*((1+PrisudviklingGenerelt)^Tidstabel[[#This Row],[År]]))),BlankTegn)</f>
        <v>.</v>
      </c>
      <c r="BK56" s="262" t="str">
        <f>IFERROR(IF(Tidstabel[[#This Row],[År]]&gt;Input_Tidshorisont,BlankTegn,
IF(Tidstabel[[#This Row],[År]]=0,0,Tidstabel[[#This Row],[VS_Uds?]]*-VS_Enhedspris*VS_Genoprettelse*((1+Tidstabel[[#This Row],[Kalkulationsrente]])^-Tidstabel[[#This Row],[År]])*((1+PrisudviklingGenerelt)^Tidstabel[[#This Row],[År]]))),BlankTegn)</f>
        <v>.</v>
      </c>
      <c r="BL56" s="245">
        <f>IFERROR(IF(Tidstabel[[#This Row],[År]]&gt;Input_Tidshorisont,BlankTegn,
IF(Tidstabel[[#This Row],[År]]=0,-EI_Enhedspris,0)),BlankTegn)</f>
        <v>0</v>
      </c>
      <c r="BM56" s="245" t="str">
        <f>IFERROR(IF(Tidstabel[[#This Row],[År]]&gt;Input_Tidshorisont,BlankTegn,
IF(Tidstabel[[#This Row],[År]]=0,EI_Enhedspris/EI_Levetid,BM55*((1+Tidstabel[[#This Row],[Kalkulationsrente]])^-1)*((1+PrisudviklingGenerelt)^1))),BlankTegn)</f>
        <v>.</v>
      </c>
      <c r="BN56" s="178" t="str">
        <f ca="1">IFERROR(IF(Tidstabel[[#This Row],[År]]&gt;Input_Tidshorisont,BlankTegn,
IF(EI_Vedligehold_i=1,IF(Tidstabel[[#This Row],[EI_Uds?]]=0,1,0),IF(MAX(BN55:OFFSET(BO55,2-EI_Vedligehold_i,0),Tidstabel[[#This Row],[EI_Uds?]])=0,1,0))),BlankTegn)</f>
        <v>.</v>
      </c>
      <c r="BO56" s="178" t="str">
        <f>IFERROR(IF(Tidstabel[[#This Row],[År]]&gt;Input_Tidshorisont,BlankTegn,
IF(Tidstabel[[#This Row],[År]]=0,1,IF(MOD(Tidstabel[[#This Row],[År]],EI_Levetid)=0,1,IF(Tidstabel[[#This Row],[År]]=Input_Tidshorisont,0,0)))),BlankTegn)</f>
        <v>.</v>
      </c>
      <c r="BP56" s="245" t="str">
        <f ca="1">IFERROR(IF(Tidstabel[[#This Row],[År]]&gt;Input_Tidshorisont,BlankTegn,
EI_Vedligehold_p*-EI_Enhedspris*Tidstabel[[#This Row],[EI_Ved?]]*((1+Tidstabel[[#This Row],[Kalkulationsrente]])^-Tidstabel[[#This Row],[År]])*((1+PrisudviklingGenerelt)^Tidstabel[[#This Row],[År]])),BlankTegn)</f>
        <v>.</v>
      </c>
      <c r="BQ56" s="245" t="str">
        <f>IFERROR(IF(Tidstabel[[#This Row],[År]]&gt;Input_Tidshorisont,BlankTegn,
IF(Tidstabel[[#This Row],[År]]=0,EI_Enhedspris,SUM(BQ55:BR55)*((1+Tidstabel[[#This Row],[Kalkulationsrente]])^-1)*((1+PrisudviklingGenerelt)^1)-Tidstabel[[#This Row],[EI_Afskrivning]])),BlankTegn)</f>
        <v>.</v>
      </c>
      <c r="BR56" s="245" t="str">
        <f>IFERROR(IF(Tidstabel[[#This Row],[År]]&gt;Input_Tidshorisont,BlankTegn,
IF(Tidstabel[[#This Row],[År]]=0,0,Tidstabel[[#This Row],[EI_Uds?]]*EI_Enhedspris*((1+Tidstabel[[#This Row],[Kalkulationsrente]])^-Tidstabel[[#This Row],[År]])*((1+PrisudviklingGenerelt)^Tidstabel[[#This Row],[År]]))),BlankTegn)</f>
        <v>.</v>
      </c>
      <c r="BS56" s="262" t="str">
        <f>IFERROR(IF(Tidstabel[[#This Row],[År]]&gt;Input_Tidshorisont,BlankTegn,
IF(Tidstabel[[#This Row],[År]]=0,0,Tidstabel[[#This Row],[EI_Uds?]]*-EI_Enhedspris*EI_Genoprettelse*((1+Tidstabel[[#This Row],[Kalkulationsrente]])^-Tidstabel[[#This Row],[År]])*((1+PrisudviklingGenerelt)^Tidstabel[[#This Row],[År]]))),BlankTegn)</f>
        <v>.</v>
      </c>
      <c r="BT56" s="245">
        <f>IFERROR(IF(Tidstabel[[#This Row],[År]]&gt;Input_Tidshorisont,BlankTegn,
IF(Tidstabel[[#This Row],[År]]=0,-AP_Enhedspris,0)),BlankTegn)</f>
        <v>0</v>
      </c>
      <c r="BU56" s="245" t="str">
        <f>IFERROR(IF(Tidstabel[[#This Row],[År]]&gt;Input_Tidshorisont,BlankTegn,
IF(Tidstabel[[#This Row],[År]]=0,AP_Enhedspris/AP_Levetid,BU55*((1+Tidstabel[[#This Row],[Kalkulationsrente]])^-1)*((1+PrisudviklingGenerelt)^1))),BlankTegn)</f>
        <v>.</v>
      </c>
      <c r="BV56" s="178" t="str">
        <f ca="1">IFERROR(IF(Tidstabel[[#This Row],[År]]&gt;Input_Tidshorisont,BlankTegn,
IF(AP_Vedligehold_i=1,IF(Tidstabel[[#This Row],[AP_Uds?]]=0,1,0),IF(MAX(BV55:OFFSET(BW55,2-AP_Vedligehold_i,0),Tidstabel[[#This Row],[AP_Uds?]])=0,1,0))),BlankTegn)</f>
        <v>.</v>
      </c>
      <c r="BW56" s="178" t="str">
        <f>IFERROR(IF(Tidstabel[[#This Row],[År]]&gt;Input_Tidshorisont,BlankTegn,
IF(Tidstabel[[#This Row],[År]]=0,1,IF(MOD(Tidstabel[[#This Row],[År]],AP_Levetid)=0,1,IF(Tidstabel[[#This Row],[År]]=Input_Tidshorisont,0,0)))),BlankTegn)</f>
        <v>.</v>
      </c>
      <c r="BX56" s="245" t="str">
        <f ca="1">IFERROR(IF(Tidstabel[[#This Row],[År]]&gt;Input_Tidshorisont,BlankTegn,
AP_Vedligehold_p*-AP_Enhedspris*Tidstabel[[#This Row],[AP_Ved?]]*((1+Tidstabel[[#This Row],[Kalkulationsrente]])^-Tidstabel[[#This Row],[År]])*((1+PrisudviklingGenerelt)^Tidstabel[[#This Row],[År]])),BlankTegn)</f>
        <v>.</v>
      </c>
      <c r="BY56" s="245" t="str">
        <f>IFERROR(IF(Tidstabel[[#This Row],[År]]&gt;Input_Tidshorisont,BlankTegn,
IF(Tidstabel[[#This Row],[År]]=0,AP_Enhedspris,SUM(BY55:BZ55)*((1+Tidstabel[[#This Row],[Kalkulationsrente]])^-1)*((1+PrisudviklingGenerelt)^1)-Tidstabel[[#This Row],[AP_Afskrivning]])),BlankTegn)</f>
        <v>.</v>
      </c>
      <c r="BZ56" s="245" t="str">
        <f>IFERROR(IF(Tidstabel[[#This Row],[År]]&gt;Input_Tidshorisont,BlankTegn,
IF(Tidstabel[[#This Row],[År]]=0,0,Tidstabel[[#This Row],[AP_Uds?]]*AP_Enhedspris*((1+Tidstabel[[#This Row],[Kalkulationsrente]])^-Tidstabel[[#This Row],[År]])*((1+PrisudviklingGenerelt)^Tidstabel[[#This Row],[År]]))),BlankTegn)</f>
        <v>.</v>
      </c>
      <c r="CA56" s="262" t="str">
        <f>IFERROR(IF(Tidstabel[[#This Row],[År]]&gt;Input_Tidshorisont,BlankTegn,
IF(Tidstabel[[#This Row],[År]]=0,0,Tidstabel[[#This Row],[AP_Uds?]]*-AP_Enhedspris*AP_Genoprettelse*((1+Tidstabel[[#This Row],[Kalkulationsrente]])^-Tidstabel[[#This Row],[År]])*((1+PrisudviklingGenerelt)^Tidstabel[[#This Row],[År]]))),BlankTegn)</f>
        <v>.</v>
      </c>
      <c r="CB56" s="245">
        <f>IFERROR(IF(Tidstabel[[#This Row],[År]]&gt;Input_Tidshorisont,BlankTegn,
IF(Tidstabel[[#This Row],[År]]=0,-SK_Enhedspris,0)),BlankTegn)</f>
        <v>0</v>
      </c>
      <c r="CC56" s="245" t="str">
        <f>IFERROR(IF(Tidstabel[[#This Row],[År]]&gt;Input_Tidshorisont,BlankTegn,
IF(Tidstabel[[#This Row],[År]]=0,SK_Enhedspris/SK_Levetid,CC55*((1+Tidstabel[[#This Row],[Kalkulationsrente]])^-1)*((1+PrisudviklingGenerelt)^1))),BlankTegn)</f>
        <v>.</v>
      </c>
      <c r="CD56" s="178" t="str">
        <f ca="1">IFERROR(IF(Tidstabel[[#This Row],[År]]&gt;Input_Tidshorisont,BlankTegn,
IF(SK_Vedligehold_i=1,IF(Tidstabel[[#This Row],[SK_Uds?]]=0,1,0),IF(MAX(CD55:OFFSET(CE55,2-SK_Vedligehold_i,0),Tidstabel[[#This Row],[SK_Uds?]])=0,1,0))),BlankTegn)</f>
        <v>.</v>
      </c>
      <c r="CE56" s="178" t="str">
        <f>IFERROR(IF(Tidstabel[[#This Row],[År]]&gt;Input_Tidshorisont,BlankTegn,
IF(Tidstabel[[#This Row],[År]]=0,1,IF(MOD(Tidstabel[[#This Row],[År]],SK_Levetid)=0,1,IF(Tidstabel[[#This Row],[År]]=Input_Tidshorisont,0,0)))),BlankTegn)</f>
        <v>.</v>
      </c>
      <c r="CF56" s="245" t="str">
        <f ca="1">IFERROR(IF(Tidstabel[[#This Row],[År]]&gt;Input_Tidshorisont,BlankTegn,
SK_Vedligehold_p*-SK_Enhedspris*Tidstabel[[#This Row],[SK_Ved?]]*((1+Tidstabel[[#This Row],[Kalkulationsrente]])^-Tidstabel[[#This Row],[År]])*((1+PrisudviklingGenerelt)^Tidstabel[[#This Row],[År]])),BlankTegn)</f>
        <v>.</v>
      </c>
      <c r="CG56" s="245" t="str">
        <f>IFERROR(IF(Tidstabel[[#This Row],[År]]&gt;Input_Tidshorisont,BlankTegn,
IF(Tidstabel[[#This Row],[År]]=0,SK_Enhedspris,SUM(CG55:CH55)*((1+Tidstabel[[#This Row],[Kalkulationsrente]])^-1)*((1+PrisudviklingGenerelt)^1)-Tidstabel[[#This Row],[SK_Afskrivning]])),BlankTegn)</f>
        <v>.</v>
      </c>
      <c r="CH56" s="245" t="str">
        <f>IFERROR(IF(Tidstabel[[#This Row],[År]]&gt;Input_Tidshorisont,BlankTegn,
IF(Tidstabel[[#This Row],[År]]=0,0,Tidstabel[[#This Row],[SK_Uds?]]*SK_Enhedspris*((1+Tidstabel[[#This Row],[Kalkulationsrente]])^-Tidstabel[[#This Row],[År]])*((1+PrisudviklingGenerelt)^Tidstabel[[#This Row],[År]]))),BlankTegn)</f>
        <v>.</v>
      </c>
      <c r="CI56" s="262" t="str">
        <f>IFERROR(IF(Tidstabel[[#This Row],[År]]&gt;Input_Tidshorisont,BlankTegn,
IF(Tidstabel[[#This Row],[År]]=0,0,Tidstabel[[#This Row],[SK_Uds?]]*-SK_Enhedspris*SK_Genoprettelse*((1+Tidstabel[[#This Row],[Kalkulationsrente]])^-Tidstabel[[#This Row],[År]])*((1+PrisudviklingGenerelt)^Tidstabel[[#This Row],[År]]))),BlankTegn)</f>
        <v>.</v>
      </c>
      <c r="CJ56" s="19"/>
    </row>
    <row r="57" spans="1:88">
      <c r="A57" s="250">
        <v>50</v>
      </c>
      <c r="B57" s="250">
        <f>Input_Etableringsår+Tidstabel[[#This Row],[År]]</f>
        <v>2074</v>
      </c>
      <c r="C57" s="274" cm="1">
        <f t="array" ref="C57">_xlfn.IFS(Tidstabel[[#This Row],[År]]&gt;KR_Trin3_Tærskel,KR_Trin3_Rente,Tidstabel[[#This Row],[År]]&gt;KR_Trin2_Tærskel,KR_Trin2_Rente,Tidstabel[[#This Row],[År]]&gt;KR_Trin1_Tærskel,KR_Trin1_Rente,Tidstabel[[#This Row],[År]]&gt;KR_Trin0_Tærskel,KR_Trin0_Rente)</f>
        <v>2.5000000000000001E-2</v>
      </c>
      <c r="D57" s="142" t="str" cm="1">
        <f t="array" ref="D57">IFERROR(
INDEX(Range_Materiale_ÅrligeEmissioner,MATCH(1,(Materialedata[Komponent]=FB_Titel)*(Materialedata[Materiale]=FB_Materiale),0),MATCH(Tidstabel[[#This Row],[År]],Range_Materiale_År,0)),BlankTegn)</f>
        <v>.</v>
      </c>
      <c r="E57" s="142" t="str" cm="1">
        <f t="array" ref="E57">IFERROR(
INDEX(Range_Materiale_ÅrligeEmissioner,MATCH(1,(Materialedata[Komponent]=SK_Titel)*(Materialedata[Materiale]=SK_Materiale),0),MATCH(Tidstabel[[#This Row],[År]],Range_Materiale_År,0)),BlankTegn)</f>
        <v>.</v>
      </c>
      <c r="F57" s="142" t="str" cm="1">
        <f t="array" ref="F57">IFERROR(
INDEX(Range_Materiale_ÅrligeEmissioner,MATCH(1,(Materialedata[Komponent]=EI_Titel)*(Materialedata[Materiale]=EI_Materiale),0),MATCH(Tidstabel[[#This Row],[År]],Range_Materiale_År,0)),BlankTegn)</f>
        <v>.</v>
      </c>
      <c r="G57" s="142" t="str" cm="1">
        <f t="array" ref="G57">IFERROR(
INDEX(Range_Materiale_ÅrligeEmissioner,MATCH(1,(Materialedata[Komponent]=AP_Titel)*(Materialedata[Materiale]=AP_Materiale),0),MATCH(Tidstabel[[#This Row],[År]],Range_Materiale_År,0)),BlankTegn)</f>
        <v>.</v>
      </c>
      <c r="H57" s="142" t="str" cm="1">
        <f t="array" ref="H57">IFERROR(
INDEX(Range_Materiale_ÅrligeEmissioner,MATCH(1,(Materialedata[Komponent]=VS_Titel)*(Materialedata[Materiale]=VS_Materiale),0),MATCH(Tidstabel[[#This Row],[År]],Range_Materiale_År,0)),BlankTegn)</f>
        <v>.</v>
      </c>
      <c r="I57" s="142" t="str">
        <f>IFERROR(
IF(SUM(Tidstabel[[#This Row],[Facadebeklædning]:[Vindspærre]])=0,BlankTegn,
SUM(Tidstabel[[#This Row],[Facadebeklædning]:[Vindspærre]])),BlankTegn)</f>
        <v>.</v>
      </c>
      <c r="J57" s="139">
        <f>IF(Tidstabel[[#This Row],[År]]&gt;Input_Tidshorisont,BlankTegn,
A5_ElVarmeBrændstofByggeplads)</f>
        <v>0.25</v>
      </c>
      <c r="K57" s="142" t="str">
        <f>IFERROR(IF(Tidstabel[[#This Row],[År]]&gt;Input_Tidshorisont,BlankTegn,
-1*INDEX(Range_Energi_ÅrligBesparelse,MATCH(Input_EksisterendeFacade,Energiberegning[Ydervæg],0),MATCH(Tidstabel[[#This Row],[Årstal]],Range_Energi_Årstal,0))),BlankTegn)</f>
        <v>.</v>
      </c>
      <c r="L57" s="142">
        <f>IF(Tidstabel[[#This Row],[År]]&gt;Input_Tidshorisont,BlankTegn,
(Tidstabel[[#This Row],[År]]+1)*(SUM(Vedligeholdelsesmaterialer[Facadefarve],Vedligeholdelsesmaterialer[Grunder og mellemmaling])/12+SUM(Vedligeholdelsesmaterialer[Puds])/30))</f>
        <v>16.567568577499998</v>
      </c>
      <c r="M57" s="142" t="str">
        <f>IFERROR(IF(Tidstabel[[#This Row],[År]]&gt;Input_Tidshorisont,BlankTegn,
Tidstabel[[#This Row],[Materialer_Total]]+Tidstabel[[#This Row],[Byggeprocess]]),BlankTegn)</f>
        <v>.</v>
      </c>
      <c r="N57" s="142" t="str">
        <f>IFERROR(IF(Tidstabel[[#This Row],[År]]&gt;Input_Tidshorisont,BlankTegn,
Tidstabel[[#This Row],[Energibesparelse]]+Tidstabel[[#This Row],[Emission_Brutto]]),BlankTegn)</f>
        <v>.</v>
      </c>
      <c r="O57" s="142" t="str">
        <f>IFERROR(IF(Tidstabel[[#This Row],[År]]&gt;Input_Tidshorisont,BlankTegn,
Tidstabel[[#This Row],[Emission_Netto]]-Tidstabel[[#This Row],[Vedligehold_EksisterendeFacade]]),BlankTegn)</f>
        <v>.</v>
      </c>
      <c r="P57" s="271" t="str">
        <f>IFERROR(IF(Tidstabel[[#This Row],[År]]&gt;Input_Tidshorisont,BlankTegn,
IF(AND(Tidstabel[[#This Row],[Emission_Netto]]-Tidstabel[[#This Row],[Vedligehold_EksisterendeFacade]]&gt;0,N58-L58&lt;0),-1,IF(AND(Tidstabel[[#This Row],[Emission_Netto]]-Tidstabel[[#This Row],[Vedligehold_EksisterendeFacade]]&lt;0,N58-L58&gt;0),1,0))),BlankTegn)</f>
        <v>.</v>
      </c>
      <c r="Q57" s="174" t="str">
        <f>IF(Tidstabel[[#This Row],[År]]&gt;Input_Tidshorisont,BlankTegn,
IF(Tidstabel[[#This Row],[LCA-Skæring]]=-1,SUM(Tidstabel[[#This Row],[År]]*(1-ABS(Tidstabel[[#This Row],[LCA-Difference]])/(ABS(Tidstabel[[#This Row],[LCA-Difference]])+ABS(O58))),A58*(1-ABS(O58)/(ABS(Tidstabel[[#This Row],[LCA-Difference]])+ABS(O58)))),"-"))</f>
        <v>-</v>
      </c>
      <c r="R57" s="174" t="str">
        <f>IF(Tidstabel[[#This Row],[År]]&gt;Input_Tidshorisont,BlankTegn,
IF(Tidstabel[[#This Row],[LCA-Skæring]]=-1,SUM(Tidstabel[[#This Row],[Emission_Netto]]*(1-ABS(Tidstabel[[#This Row],[LCA-Difference]])/(ABS(Tidstabel[[#This Row],[LCA-Difference]])+ABS(O58))),N58*(1-ABS(O58)/(ABS(Tidstabel[[#This Row],[LCA-Difference]])+ABS(O58)))),"-"))</f>
        <v>-</v>
      </c>
      <c r="S57" s="174" t="str">
        <f>IF(Tidstabel[[#This Row],[År]]&gt;Input_Tidshorisont,BlankTegn,
IF(Tidstabel[[#This Row],[LCA-Skæring]]=1,SUM(Tidstabel[[#This Row],[År]]*(1-ABS(Tidstabel[[#This Row],[LCA-Difference]])/(ABS(Tidstabel[[#This Row],[LCA-Difference]])+ABS(O58))),A58*(1-ABS(O58)/(ABS(Tidstabel[[#This Row],[LCA-Difference]])+ABS(O58)))),"-"))</f>
        <v>-</v>
      </c>
      <c r="T57" s="264" t="str">
        <f>IF(Tidstabel[[#This Row],[År]]&gt;Input_Tidshorisont,BlankTegn,
IF(Tidstabel[[#This Row],[LCA-Skæring]]=1,SUM(Tidstabel[[#This Row],[Emission_Netto]]*(1-ABS(Tidstabel[[#This Row],[LCA-Difference]])/(ABS(Tidstabel[[#This Row],[LCA-Difference]])+ABS(O58))),N58*(1-ABS(O58)/(ABS(Tidstabel[[#This Row],[LCA-Difference]])+ABS(O58)))),"-"))</f>
        <v>-</v>
      </c>
      <c r="U57" s="142" t="str">
        <f ca="1">IFERROR(IF(Tidstabel[[#This Row],[År]]&gt;Input_Tidshorisont,BlankTegn,
Tidstabel[[#This Row],[NPV_Klimafacade]]-Tidstabel[[#This Row],[NPV_Eksisterende]]),BlankTegn)</f>
        <v>.</v>
      </c>
      <c r="V57" s="271" t="str">
        <f ca="1">IFERROR(IF(Tidstabel[[#This Row],[År]]&gt;Input_Tidshorisont,BlankTegn,
IF(AND(Tidstabel[[#This Row],[NPV_Klimafacade]]-Tidstabel[[#This Row],[NPV_Eksisterende]]&gt;0,AB58-AA58&lt;0),1,IF(AND(Tidstabel[[#This Row],[NPV_Klimafacade]]-Tidstabel[[#This Row],[NPV_Eksisterende]]&lt;0,AB58-AA58&gt;0),-1,0))),BlankTegn)</f>
        <v>.</v>
      </c>
      <c r="W57" s="174" t="str">
        <f ca="1">IF(Tidstabel[[#This Row],[År]]&gt;Input_Tidshorisont,BlankTegn,
IF(Tidstabel[[#This Row],[LCC-Skæring]]=-1,SUM(Tidstabel[[#This Row],[År]]*(1-ABS(Tidstabel[[#This Row],[LCC-Difference]])/(ABS(Tidstabel[[#This Row],[LCC-Difference]])+ABS(U58))),A58*(1-ABS(U58)/(ABS(Tidstabel[[#This Row],[LCC-Difference]])+ABS(U58)))),"-"))</f>
        <v>-</v>
      </c>
      <c r="X57" s="174" t="str">
        <f ca="1">IF(Tidstabel[[#This Row],[År]]&gt;Input_Tidshorisont,BlankTegn,
IF(Tidstabel[[#This Row],[LCC-Skæring]]=-1,SUM(Tidstabel[[#This Row],[NPV_Klimafacade]]*(1-ABS(Tidstabel[[#This Row],[LCC-Difference]])/(ABS(Tidstabel[[#This Row],[LCC-Difference]])+ABS(U58))),AB58*(1-ABS(U58)/(ABS(Tidstabel[[#This Row],[LCC-Difference]])+ABS(U58)))),"-"))</f>
        <v>-</v>
      </c>
      <c r="Y57" s="174" t="str">
        <f ca="1">IF(Tidstabel[[#This Row],[År]]&gt;Input_Tidshorisont,BlankTegn,
IF(Tidstabel[[#This Row],[LCC-Skæring]]=1,SUM(Tidstabel[[#This Row],[År]]*(1-ABS(Tidstabel[[#This Row],[LCC-Difference]])/(ABS(Tidstabel[[#This Row],[LCC-Difference]])+ABS(U58))),A58*(1-ABS(U58)/(ABS(Tidstabel[[#This Row],[LCC-Difference]])+ABS(U58)))),"-"))</f>
        <v>-</v>
      </c>
      <c r="Z57" s="264" t="str">
        <f ca="1">IF(Tidstabel[[#This Row],[År]]&gt;Input_Tidshorisont,BlankTegn,
IF(Tidstabel[[#This Row],[LCC-Skæring]]=1,SUM(Tidstabel[[#This Row],[NPV_Klimafacade]]*(1-ABS(Tidstabel[[#This Row],[LCC-Difference]])/(ABS(Tidstabel[[#This Row],[LCC-Difference]])+ABS(U58))),AB58*(1-ABS(U58)/(ABS(Tidstabel[[#This Row],[LCC-Difference]])+ABS(U58)))),"-"))</f>
        <v>-</v>
      </c>
      <c r="AA57" s="142">
        <f ca="1">IF(Tidstabel[[#This Row],[År]]&gt;Input_Tidshorisont,BlankTegn,
Tidstabel[[#This Row],[EF_Vedligehold_Aggregeret]])</f>
        <v>-279.17473111522906</v>
      </c>
      <c r="AB57" s="142" t="str">
        <f ca="1">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57" s="142" t="str">
        <f>IFERROR(IF(Tidstabel[[#This Row],[År]]&gt;Input_Tidshorisont,BlankTegn,
Tidstabel[[#This Row],[KF_Anskaffelse_Aggregeret]]+Tidstabel[[#This Row],[KF_Engangsudgifter_Aggregeret]]),BlankTegn)</f>
        <v>.</v>
      </c>
      <c r="AD57" s="174">
        <f ca="1">IFERROR(IF(Tidstabel[[#This Row],[År]]&gt;Input_Tidshorisont,BlankTegn,
IF(Tidstabel[[#This Row],[År]]=0,0,Tidstabel[[#This Row],[NPV_Eksisterende]]*(Tidstabel[[#This Row],[Kalkulationsrente]]/(1-(1+Tidstabel[[#This Row],[Kalkulationsrente]])^-Tidstabel[[#This Row],[År]])))),BlankTegn)</f>
        <v>-9.8431585640726844</v>
      </c>
      <c r="AE57" s="264" t="str">
        <f ca="1">IFERROR(IF(Tidstabel[[#This Row],[År]]&gt;Input_Tidshorisont,BlankTegn,
IF(Tidstabel[[#This Row],[År]]=0,0,Tidstabel[[#This Row],[NPV_Klimafacade]]*(Tidstabel[[#This Row],[Kalkulationsrente]]/(1-(1+Tidstabel[[#This Row],[Kalkulationsrente]])^-Tidstabel[[#This Row],[År]])))),BlankTegn)</f>
        <v>.</v>
      </c>
      <c r="AF57" s="270">
        <f ca="1">IF(Tidstabel[[#This Row],[År]]&gt;Input_Tidshorisont,BlankTegn,
IF(EF_Vedligehold_i=1,IF(Tidstabel[[#This Row],[EF_Uds?]]=0,1,0),IF(MAX(AF56:OFFSET(AG56,2-EF_Vedligehold_i,0),Tidstabel[[#This Row],[EF_Uds?]])=0,1,0)))</f>
        <v>1</v>
      </c>
      <c r="AG57" s="181">
        <f>IF(Tidstabel[[#This Row],[År]]&gt;Input_Tidshorisont,BlankTegn,0)</f>
        <v>0</v>
      </c>
      <c r="AH57" s="263">
        <f ca="1">IF(Tidstabel[[#This Row],[År]]&gt;Input_Tidshorisont,BlankTegn,
Tidstabel[[#This Row],[EF_Ved?]]*EF_Vedligehold_p*-EF_Enhedspris*((1+Tidstabel[[#This Row],[Kalkulationsrente]])^-Tidstabel[[#This Row],[År]])*((1+PrisudviklingGenerelt)^Tidstabel[[#This Row],[År]]))</f>
        <v>-3.0980351088861973</v>
      </c>
      <c r="AI57" s="262">
        <f ca="1">IF(Tidstabel[[#This Row],[År]]&gt;Input_Tidshorisont,BlankTegn,
IF(Tidstabel[[#This Row],[År]]=0,Tidstabel[[#This Row],[EF_Vedligehold]],AI56+Tidstabel[[#This Row],[EF_Vedligehold]]))</f>
        <v>-279.17473111522906</v>
      </c>
      <c r="AJ57" s="245">
        <f>IFERROR(IF(Tidstabel[[#This Row],[År]]&gt;Input_Tidshorisont,BlankTegn,
Tidstabel[[#This Row],[FB_Anskaffelse]]+Tidstabel[[#This Row],[VS_Anskaffelse]]+Tidstabel[[#This Row],[EI_Anskaffelse]]+Tidstabel[[#This Row],[AP_Anskaffelse]]+Tidstabel[[#This Row],[SK_Anskaffelse]]),BlankTegn)</f>
        <v>0</v>
      </c>
      <c r="AK57" s="245" t="str">
        <f>IFERROR(IF(Tidstabel[[#This Row],[År]]&gt;Input_Tidshorisont,BlankTegn,
IF(Tidstabel[[#This Row],[År]]=0,Tidstabel[[#This Row],[KF_Anskaffelse]],AK56+Tidstabel[[#This Row],[KF_Anskaffelse]])),BlankTegn)</f>
        <v>.</v>
      </c>
      <c r="AL57" s="246" t="str">
        <f ca="1">IFERROR(IF(Tidstabel[[#This Row],[År]]&gt;Input_Tidshorisont,BlankTegn,
Tidstabel[[#This Row],[FB_Vedligehold]]+Tidstabel[[#This Row],[VS_Vedligehold]]+Tidstabel[[#This Row],[EI_Vedligehold]]+Tidstabel[[#This Row],[AP_Vedligehold]]+Tidstabel[[#This Row],[SK_Vedligehold]]),BlankTegn)</f>
        <v>.</v>
      </c>
      <c r="AM57" s="245" t="str">
        <f ca="1">IFERROR(IF(Tidstabel[[#This Row],[År]]&gt;Input_Tidshorisont,BlankTegn,
IF(Tidstabel[[#This Row],[År]]=0,Tidstabel[[#This Row],[KF_Vedligehold]],AM56+Tidstabel[[#This Row],[KF_Vedligehold]])),BlankTegn)</f>
        <v>.</v>
      </c>
      <c r="AN57" s="245">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0</v>
      </c>
      <c r="AO57"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57" s="245" t="str">
        <f>IFERROR(IF(Tidstabel[[#This Row],[År]]&gt;Input_Tidshorisont,BlankTegn,
IF(Tidstabel[[#This Row],[År]]=0,Tidstabel[[#This Row],[KF_Udskiftning_Komponent]],AP56+Tidstabel[[#This Row],[KF_Udskiftning_Komponent]])),BlankTegn)</f>
        <v>.</v>
      </c>
      <c r="AQ57" s="245">
        <f>IF(Tidstabel[[#This Row],[År]]&gt;Input_Tidshorisont,BlankTegn,
IF(Tidstabel[[#This Row],[År]]=0,-SUM(Engangsudgifter[Udgift]),0))</f>
        <v>0</v>
      </c>
      <c r="AR57" s="245">
        <f>IFERROR(IF(Tidstabel[[#This Row],[År]]&gt;Input_Tidshorisont,BlankTegn,
IF(Tidstabel[[#This Row],[År]]=0,Tidstabel[[#This Row],[KF_Engangsudgifter]],AR56+Tidstabel[[#This Row],[KF_Engangsudgifter]])),BlankTegn)</f>
        <v>0</v>
      </c>
      <c r="AS57" s="315" t="str">
        <f>IFERROR(IF(Tidstabel[[#This Row],[År]]&gt;Input_Tidshorisont,BlankTegn,
-Energibesparelse_Årlig),BlankTegn)</f>
        <v>.</v>
      </c>
      <c r="AT57" s="245" t="str">
        <f>IFERROR(IF(Tidstabel[[#This Row],[År]]&gt;Input_Tidshorisont,BlankTegn,
IF(Tidstabel[[#This Row],[År]]=0,0,-Tidstabel[[#This Row],[KF_Energiforbrug]]*Input_Fjernvarmepris*((1+Tidstabel[[#This Row],[Kalkulationsrente]])^-Tidstabel[[#This Row],[År]])*((1+PrisudviklingFjernvarme)^Tidstabel[[#This Row],[År]]))),BlankTegn)</f>
        <v>.</v>
      </c>
      <c r="AU57" s="262" t="str">
        <f>IFERROR(IF(Tidstabel[[#This Row],[År]]&gt;Input_Tidshorisont,BlankTegn,
IF(Tidstabel[[#This Row],[År]]=0,Tidstabel[[#This Row],[KF_Forsyning]],AU56+Tidstabel[[#This Row],[KF_Forsyning]])),BlankTegn)</f>
        <v>.</v>
      </c>
      <c r="AV57" s="245">
        <f>IFERROR(IF(Tidstabel[[#This Row],[År]]&gt;Input_Tidshorisont,BlankTegn,
IF(Tidstabel[[#This Row],[År]]=0,-FB_Enhedspris,0)),BlankTegn)</f>
        <v>0</v>
      </c>
      <c r="AW57" s="245" t="str">
        <f>IFERROR(IF(Tidstabel[[#This Row],[År]]&gt;Input_Tidshorisont,BlankTegn,
IF(Tidstabel[[#This Row],[År]]=0,FB_Enhedspris/FB_Levetid,AW56*((1+Tidstabel[[#This Row],[Kalkulationsrente]])^-1)*((1+PrisudviklingGenerelt)^1))),BlankTegn)</f>
        <v>.</v>
      </c>
      <c r="AX57" s="178" t="str">
        <f ca="1">IFERROR(IF(Tidstabel[[#This Row],[År]]&gt;Input_Tidshorisont,BlankTegn,
IF(FB_Vedligehold_i=1,IF(Tidstabel[[#This Row],[FB_Uds?]]=0,1,0),IF(MAX(AX56:OFFSET(AY56,2-FB_Vedligehold_i,0),Tidstabel[[#This Row],[FB_Uds?]])=0,1,0))),BlankTegn)</f>
        <v>.</v>
      </c>
      <c r="AY57" s="178" t="str">
        <f>IFERROR(IF(Tidstabel[[#This Row],[År]]&gt;Input_Tidshorisont,BlankTegn,
IF(Tidstabel[[#This Row],[År]]=0,1,IF(MOD(Tidstabel[[#This Row],[År]],FB_Levetid)=0,1,IF(Tidstabel[[#This Row],[År]]=Input_Tidshorisont,0,0)))),BlankTegn)</f>
        <v>.</v>
      </c>
      <c r="AZ57" s="245" t="str">
        <f ca="1">IFERROR(IF(Tidstabel[[#This Row],[År]]&gt;Input_Tidshorisont,BlankTegn,
FB_Vedligehold_p*-FB_Enhedspris*Tidstabel[[#This Row],[FB_Ved?]]*((1+Tidstabel[[#This Row],[Kalkulationsrente]])^-Tidstabel[[#This Row],[År]])*((1+PrisudviklingGenerelt)^Tidstabel[[#This Row],[År]])),BlankTegn)</f>
        <v>.</v>
      </c>
      <c r="BA57" s="245" t="str">
        <f>IFERROR(IF(Tidstabel[[#This Row],[År]]&gt;Input_Tidshorisont,BlankTegn,
IF(Tidstabel[[#This Row],[År]]=0,FB_Enhedspris,SUM(BA56:BB56)*((1+Tidstabel[[#This Row],[Kalkulationsrente]])^-1)*((1+PrisudviklingGenerelt)^1)-Tidstabel[[#This Row],[FB_Afskrivning]])),BlankTegn)</f>
        <v>.</v>
      </c>
      <c r="BB57" s="245" t="str">
        <f>IFERROR(IF(Tidstabel[[#This Row],[År]]&gt;Input_Tidshorisont,BlankTegn,
IF(Tidstabel[[#This Row],[År]]=0,0,Tidstabel[[#This Row],[FB_Uds?]]*FB_Enhedspris*((1+Tidstabel[[#This Row],[Kalkulationsrente]])^-Tidstabel[[#This Row],[År]])*((1+PrisudviklingGenerelt)^Tidstabel[[#This Row],[År]]))),BlankTegn)</f>
        <v>.</v>
      </c>
      <c r="BC57" s="262" t="str">
        <f>IFERROR(IF(Tidstabel[[#This Row],[År]]&gt;Input_Tidshorisont,BlankTegn,
IF(Tidstabel[[#This Row],[År]]=0,0,Tidstabel[[#This Row],[FB_Uds?]]*-FB_Enhedspris*FB_Genoprettelse*((1+Tidstabel[[#This Row],[Kalkulationsrente]])^-Tidstabel[[#This Row],[År]])*((1+PrisudviklingGenerelt)^Tidstabel[[#This Row],[År]]))),BlankTegn)</f>
        <v>.</v>
      </c>
      <c r="BD57" s="245">
        <f>IFERROR(IF(Tidstabel[[#This Row],[År]]&gt;Input_Tidshorisont,BlankTegn,
IF(Tidstabel[[#This Row],[År]]=0,-VS_Enhedspris,0)),BlankTegn)</f>
        <v>0</v>
      </c>
      <c r="BE57" s="245" t="str">
        <f>IFERROR(IF(Tidstabel[[#This Row],[År]]&gt;Input_Tidshorisont,BlankTegn,
IF(Tidstabel[[#This Row],[År]]=0,VS_Enhedspris/VS_Levetid,BE56*((1+Tidstabel[[#This Row],[Kalkulationsrente]])^-1)*((1+PrisudviklingGenerelt)^1))),BlankTegn)</f>
        <v>.</v>
      </c>
      <c r="BF57" s="178" t="str">
        <f ca="1">IFERROR(IF(Tidstabel[[#This Row],[År]]&gt;Input_Tidshorisont,BlankTegn,
IF(VS_Vedligehold_i=1,IF(Tidstabel[[#This Row],[VS_Uds?]]=0,1,0),IF(MAX(BF56:OFFSET(BG56,2-VS_Vedligehold_i,0),Tidstabel[[#This Row],[VS_Uds?]])=0,1,0))),BlankTegn)</f>
        <v>.</v>
      </c>
      <c r="BG57" s="178" t="str">
        <f>IFERROR(IF(Tidstabel[[#This Row],[År]]&gt;Input_Tidshorisont,BlankTegn,
IF(Tidstabel[[#This Row],[År]]=0,1,IF(MOD(Tidstabel[[#This Row],[År]],VS_Levetid)=0,1,IF(Tidstabel[[#This Row],[År]]=Input_Tidshorisont,0,0)))),BlankTegn)</f>
        <v>.</v>
      </c>
      <c r="BH57" s="245" t="str">
        <f ca="1">IFERROR(IF(Tidstabel[[#This Row],[År]]&gt;Input_Tidshorisont,BlankTegn,
VS_Vedligehold_p*-VS_Enhedspris*Tidstabel[[#This Row],[VS_Ved?]]*((1+Tidstabel[[#This Row],[Kalkulationsrente]])^-Tidstabel[[#This Row],[År]])*((1+PrisudviklingGenerelt)^Tidstabel[[#This Row],[År]])),BlankTegn)</f>
        <v>.</v>
      </c>
      <c r="BI57" s="245" t="str">
        <f>IFERROR(IF(Tidstabel[[#This Row],[År]]&gt;Input_Tidshorisont,BlankTegn,
IF(Tidstabel[[#This Row],[År]]=0,VS_Enhedspris,SUM(BI56:BJ56)*((1+Tidstabel[[#This Row],[Kalkulationsrente]])^-1)*((1+PrisudviklingGenerelt)^1)-Tidstabel[[#This Row],[VS_Afskrivning]])),BlankTegn)</f>
        <v>.</v>
      </c>
      <c r="BJ57" s="245" t="str">
        <f>IFERROR(IF(Tidstabel[[#This Row],[År]]&gt;Input_Tidshorisont,BlankTegn,
IF(Tidstabel[[#This Row],[År]]=0,0,Tidstabel[[#This Row],[VS_Uds?]]*VS_Enhedspris*((1+Tidstabel[[#This Row],[Kalkulationsrente]])^-Tidstabel[[#This Row],[År]])*((1+PrisudviklingGenerelt)^Tidstabel[[#This Row],[År]]))),BlankTegn)</f>
        <v>.</v>
      </c>
      <c r="BK57" s="262" t="str">
        <f>IFERROR(IF(Tidstabel[[#This Row],[År]]&gt;Input_Tidshorisont,BlankTegn,
IF(Tidstabel[[#This Row],[År]]=0,0,Tidstabel[[#This Row],[VS_Uds?]]*-VS_Enhedspris*VS_Genoprettelse*((1+Tidstabel[[#This Row],[Kalkulationsrente]])^-Tidstabel[[#This Row],[År]])*((1+PrisudviklingGenerelt)^Tidstabel[[#This Row],[År]]))),BlankTegn)</f>
        <v>.</v>
      </c>
      <c r="BL57" s="245">
        <f>IFERROR(IF(Tidstabel[[#This Row],[År]]&gt;Input_Tidshorisont,BlankTegn,
IF(Tidstabel[[#This Row],[År]]=0,-EI_Enhedspris,0)),BlankTegn)</f>
        <v>0</v>
      </c>
      <c r="BM57" s="245" t="str">
        <f>IFERROR(IF(Tidstabel[[#This Row],[År]]&gt;Input_Tidshorisont,BlankTegn,
IF(Tidstabel[[#This Row],[År]]=0,EI_Enhedspris/EI_Levetid,BM56*((1+Tidstabel[[#This Row],[Kalkulationsrente]])^-1)*((1+PrisudviklingGenerelt)^1))),BlankTegn)</f>
        <v>.</v>
      </c>
      <c r="BN57" s="178" t="str">
        <f ca="1">IFERROR(IF(Tidstabel[[#This Row],[År]]&gt;Input_Tidshorisont,BlankTegn,
IF(EI_Vedligehold_i=1,IF(Tidstabel[[#This Row],[EI_Uds?]]=0,1,0),IF(MAX(BN56:OFFSET(BO56,2-EI_Vedligehold_i,0),Tidstabel[[#This Row],[EI_Uds?]])=0,1,0))),BlankTegn)</f>
        <v>.</v>
      </c>
      <c r="BO57" s="178" t="str">
        <f>IFERROR(IF(Tidstabel[[#This Row],[År]]&gt;Input_Tidshorisont,BlankTegn,
IF(Tidstabel[[#This Row],[År]]=0,1,IF(MOD(Tidstabel[[#This Row],[År]],EI_Levetid)=0,1,IF(Tidstabel[[#This Row],[År]]=Input_Tidshorisont,0,0)))),BlankTegn)</f>
        <v>.</v>
      </c>
      <c r="BP57" s="245" t="str">
        <f ca="1">IFERROR(IF(Tidstabel[[#This Row],[År]]&gt;Input_Tidshorisont,BlankTegn,
EI_Vedligehold_p*-EI_Enhedspris*Tidstabel[[#This Row],[EI_Ved?]]*((1+Tidstabel[[#This Row],[Kalkulationsrente]])^-Tidstabel[[#This Row],[År]])*((1+PrisudviklingGenerelt)^Tidstabel[[#This Row],[År]])),BlankTegn)</f>
        <v>.</v>
      </c>
      <c r="BQ57" s="245" t="str">
        <f>IFERROR(IF(Tidstabel[[#This Row],[År]]&gt;Input_Tidshorisont,BlankTegn,
IF(Tidstabel[[#This Row],[År]]=0,EI_Enhedspris,SUM(BQ56:BR56)*((1+Tidstabel[[#This Row],[Kalkulationsrente]])^-1)*((1+PrisudviklingGenerelt)^1)-Tidstabel[[#This Row],[EI_Afskrivning]])),BlankTegn)</f>
        <v>.</v>
      </c>
      <c r="BR57" s="245" t="str">
        <f>IFERROR(IF(Tidstabel[[#This Row],[År]]&gt;Input_Tidshorisont,BlankTegn,
IF(Tidstabel[[#This Row],[År]]=0,0,Tidstabel[[#This Row],[EI_Uds?]]*EI_Enhedspris*((1+Tidstabel[[#This Row],[Kalkulationsrente]])^-Tidstabel[[#This Row],[År]])*((1+PrisudviklingGenerelt)^Tidstabel[[#This Row],[År]]))),BlankTegn)</f>
        <v>.</v>
      </c>
      <c r="BS57" s="262" t="str">
        <f>IFERROR(IF(Tidstabel[[#This Row],[År]]&gt;Input_Tidshorisont,BlankTegn,
IF(Tidstabel[[#This Row],[År]]=0,0,Tidstabel[[#This Row],[EI_Uds?]]*-EI_Enhedspris*EI_Genoprettelse*((1+Tidstabel[[#This Row],[Kalkulationsrente]])^-Tidstabel[[#This Row],[År]])*((1+PrisudviklingGenerelt)^Tidstabel[[#This Row],[År]]))),BlankTegn)</f>
        <v>.</v>
      </c>
      <c r="BT57" s="245">
        <f>IFERROR(IF(Tidstabel[[#This Row],[År]]&gt;Input_Tidshorisont,BlankTegn,
IF(Tidstabel[[#This Row],[År]]=0,-AP_Enhedspris,0)),BlankTegn)</f>
        <v>0</v>
      </c>
      <c r="BU57" s="245" t="str">
        <f>IFERROR(IF(Tidstabel[[#This Row],[År]]&gt;Input_Tidshorisont,BlankTegn,
IF(Tidstabel[[#This Row],[År]]=0,AP_Enhedspris/AP_Levetid,BU56*((1+Tidstabel[[#This Row],[Kalkulationsrente]])^-1)*((1+PrisudviklingGenerelt)^1))),BlankTegn)</f>
        <v>.</v>
      </c>
      <c r="BV57" s="178" t="str">
        <f ca="1">IFERROR(IF(Tidstabel[[#This Row],[År]]&gt;Input_Tidshorisont,BlankTegn,
IF(AP_Vedligehold_i=1,IF(Tidstabel[[#This Row],[AP_Uds?]]=0,1,0),IF(MAX(BV56:OFFSET(BW56,2-AP_Vedligehold_i,0),Tidstabel[[#This Row],[AP_Uds?]])=0,1,0))),BlankTegn)</f>
        <v>.</v>
      </c>
      <c r="BW57" s="178" t="str">
        <f>IFERROR(IF(Tidstabel[[#This Row],[År]]&gt;Input_Tidshorisont,BlankTegn,
IF(Tidstabel[[#This Row],[År]]=0,1,IF(MOD(Tidstabel[[#This Row],[År]],AP_Levetid)=0,1,IF(Tidstabel[[#This Row],[År]]=Input_Tidshorisont,0,0)))),BlankTegn)</f>
        <v>.</v>
      </c>
      <c r="BX57" s="245" t="str">
        <f ca="1">IFERROR(IF(Tidstabel[[#This Row],[År]]&gt;Input_Tidshorisont,BlankTegn,
AP_Vedligehold_p*-AP_Enhedspris*Tidstabel[[#This Row],[AP_Ved?]]*((1+Tidstabel[[#This Row],[Kalkulationsrente]])^-Tidstabel[[#This Row],[År]])*((1+PrisudviklingGenerelt)^Tidstabel[[#This Row],[År]])),BlankTegn)</f>
        <v>.</v>
      </c>
      <c r="BY57" s="245" t="str">
        <f>IFERROR(IF(Tidstabel[[#This Row],[År]]&gt;Input_Tidshorisont,BlankTegn,
IF(Tidstabel[[#This Row],[År]]=0,AP_Enhedspris,SUM(BY56:BZ56)*((1+Tidstabel[[#This Row],[Kalkulationsrente]])^-1)*((1+PrisudviklingGenerelt)^1)-Tidstabel[[#This Row],[AP_Afskrivning]])),BlankTegn)</f>
        <v>.</v>
      </c>
      <c r="BZ57" s="245" t="str">
        <f>IFERROR(IF(Tidstabel[[#This Row],[År]]&gt;Input_Tidshorisont,BlankTegn,
IF(Tidstabel[[#This Row],[År]]=0,0,Tidstabel[[#This Row],[AP_Uds?]]*AP_Enhedspris*((1+Tidstabel[[#This Row],[Kalkulationsrente]])^-Tidstabel[[#This Row],[År]])*((1+PrisudviklingGenerelt)^Tidstabel[[#This Row],[År]]))),BlankTegn)</f>
        <v>.</v>
      </c>
      <c r="CA57" s="262" t="str">
        <f>IFERROR(IF(Tidstabel[[#This Row],[År]]&gt;Input_Tidshorisont,BlankTegn,
IF(Tidstabel[[#This Row],[År]]=0,0,Tidstabel[[#This Row],[AP_Uds?]]*-AP_Enhedspris*AP_Genoprettelse*((1+Tidstabel[[#This Row],[Kalkulationsrente]])^-Tidstabel[[#This Row],[År]])*((1+PrisudviklingGenerelt)^Tidstabel[[#This Row],[År]]))),BlankTegn)</f>
        <v>.</v>
      </c>
      <c r="CB57" s="245">
        <f>IFERROR(IF(Tidstabel[[#This Row],[År]]&gt;Input_Tidshorisont,BlankTegn,
IF(Tidstabel[[#This Row],[År]]=0,-SK_Enhedspris,0)),BlankTegn)</f>
        <v>0</v>
      </c>
      <c r="CC57" s="245" t="str">
        <f>IFERROR(IF(Tidstabel[[#This Row],[År]]&gt;Input_Tidshorisont,BlankTegn,
IF(Tidstabel[[#This Row],[År]]=0,SK_Enhedspris/SK_Levetid,CC56*((1+Tidstabel[[#This Row],[Kalkulationsrente]])^-1)*((1+PrisudviklingGenerelt)^1))),BlankTegn)</f>
        <v>.</v>
      </c>
      <c r="CD57" s="178" t="str">
        <f ca="1">IFERROR(IF(Tidstabel[[#This Row],[År]]&gt;Input_Tidshorisont,BlankTegn,
IF(SK_Vedligehold_i=1,IF(Tidstabel[[#This Row],[SK_Uds?]]=0,1,0),IF(MAX(CD56:OFFSET(CE56,2-SK_Vedligehold_i,0),Tidstabel[[#This Row],[SK_Uds?]])=0,1,0))),BlankTegn)</f>
        <v>.</v>
      </c>
      <c r="CE57" s="178" t="str">
        <f>IFERROR(IF(Tidstabel[[#This Row],[År]]&gt;Input_Tidshorisont,BlankTegn,
IF(Tidstabel[[#This Row],[År]]=0,1,IF(MOD(Tidstabel[[#This Row],[År]],SK_Levetid)=0,1,IF(Tidstabel[[#This Row],[År]]=Input_Tidshorisont,0,0)))),BlankTegn)</f>
        <v>.</v>
      </c>
      <c r="CF57" s="245" t="str">
        <f ca="1">IFERROR(IF(Tidstabel[[#This Row],[År]]&gt;Input_Tidshorisont,BlankTegn,
SK_Vedligehold_p*-SK_Enhedspris*Tidstabel[[#This Row],[SK_Ved?]]*((1+Tidstabel[[#This Row],[Kalkulationsrente]])^-Tidstabel[[#This Row],[År]])*((1+PrisudviklingGenerelt)^Tidstabel[[#This Row],[År]])),BlankTegn)</f>
        <v>.</v>
      </c>
      <c r="CG57" s="245" t="str">
        <f>IFERROR(IF(Tidstabel[[#This Row],[År]]&gt;Input_Tidshorisont,BlankTegn,
IF(Tidstabel[[#This Row],[År]]=0,SK_Enhedspris,SUM(CG56:CH56)*((1+Tidstabel[[#This Row],[Kalkulationsrente]])^-1)*((1+PrisudviklingGenerelt)^1)-Tidstabel[[#This Row],[SK_Afskrivning]])),BlankTegn)</f>
        <v>.</v>
      </c>
      <c r="CH57" s="245" t="str">
        <f>IFERROR(IF(Tidstabel[[#This Row],[År]]&gt;Input_Tidshorisont,BlankTegn,
IF(Tidstabel[[#This Row],[År]]=0,0,Tidstabel[[#This Row],[SK_Uds?]]*SK_Enhedspris*((1+Tidstabel[[#This Row],[Kalkulationsrente]])^-Tidstabel[[#This Row],[År]])*((1+PrisudviklingGenerelt)^Tidstabel[[#This Row],[År]]))),BlankTegn)</f>
        <v>.</v>
      </c>
      <c r="CI57" s="262" t="str">
        <f>IFERROR(IF(Tidstabel[[#This Row],[År]]&gt;Input_Tidshorisont,BlankTegn,
IF(Tidstabel[[#This Row],[År]]=0,0,Tidstabel[[#This Row],[SK_Uds?]]*-SK_Enhedspris*SK_Genoprettelse*((1+Tidstabel[[#This Row],[Kalkulationsrente]])^-Tidstabel[[#This Row],[År]])*((1+PrisudviklingGenerelt)^Tidstabel[[#This Row],[År]]))),BlankTegn)</f>
        <v>.</v>
      </c>
      <c r="CJ57" s="19"/>
    </row>
    <row r="58" spans="1:88">
      <c r="A58" s="250">
        <v>51</v>
      </c>
      <c r="B58" s="250">
        <f>Input_Etableringsår+Tidstabel[[#This Row],[År]]</f>
        <v>2075</v>
      </c>
      <c r="C58" s="274" cm="1">
        <f t="array" ref="C58">_xlfn.IFS(Tidstabel[[#This Row],[År]]&gt;KR_Trin3_Tærskel,KR_Trin3_Rente,Tidstabel[[#This Row],[År]]&gt;KR_Trin2_Tærskel,KR_Trin2_Rente,Tidstabel[[#This Row],[År]]&gt;KR_Trin1_Tærskel,KR_Trin1_Rente,Tidstabel[[#This Row],[År]]&gt;KR_Trin0_Tærskel,KR_Trin0_Rente)</f>
        <v>2.5000000000000001E-2</v>
      </c>
      <c r="D58" s="142" t="str" cm="1">
        <f t="array" ref="D58">IFERROR(
INDEX(Range_Materiale_ÅrligeEmissioner,MATCH(1,(Materialedata[Komponent]=FB_Titel)*(Materialedata[Materiale]=FB_Materiale),0),MATCH(Tidstabel[[#This Row],[År]],Range_Materiale_År,0)),BlankTegn)</f>
        <v>.</v>
      </c>
      <c r="E58" s="142" t="str" cm="1">
        <f t="array" ref="E58">IFERROR(
INDEX(Range_Materiale_ÅrligeEmissioner,MATCH(1,(Materialedata[Komponent]=SK_Titel)*(Materialedata[Materiale]=SK_Materiale),0),MATCH(Tidstabel[[#This Row],[År]],Range_Materiale_År,0)),BlankTegn)</f>
        <v>.</v>
      </c>
      <c r="F58" s="142" t="str" cm="1">
        <f t="array" ref="F58">IFERROR(
INDEX(Range_Materiale_ÅrligeEmissioner,MATCH(1,(Materialedata[Komponent]=EI_Titel)*(Materialedata[Materiale]=EI_Materiale),0),MATCH(Tidstabel[[#This Row],[År]],Range_Materiale_År,0)),BlankTegn)</f>
        <v>.</v>
      </c>
      <c r="G58" s="142" t="str" cm="1">
        <f t="array" ref="G58">IFERROR(
INDEX(Range_Materiale_ÅrligeEmissioner,MATCH(1,(Materialedata[Komponent]=AP_Titel)*(Materialedata[Materiale]=AP_Materiale),0),MATCH(Tidstabel[[#This Row],[År]],Range_Materiale_År,0)),BlankTegn)</f>
        <v>.</v>
      </c>
      <c r="H58" s="142" t="str" cm="1">
        <f t="array" ref="H58">IFERROR(
INDEX(Range_Materiale_ÅrligeEmissioner,MATCH(1,(Materialedata[Komponent]=VS_Titel)*(Materialedata[Materiale]=VS_Materiale),0),MATCH(Tidstabel[[#This Row],[År]],Range_Materiale_År,0)),BlankTegn)</f>
        <v>.</v>
      </c>
      <c r="I58" s="142" t="str">
        <f>IFERROR(
IF(SUM(Tidstabel[[#This Row],[Facadebeklædning]:[Vindspærre]])=0,BlankTegn,
SUM(Tidstabel[[#This Row],[Facadebeklædning]:[Vindspærre]])),BlankTegn)</f>
        <v>.</v>
      </c>
      <c r="J58" s="139" t="str">
        <f>IF(Tidstabel[[#This Row],[År]]&gt;Input_Tidshorisont,BlankTegn,
A5_ElVarmeBrændstofByggeplads)</f>
        <v>.</v>
      </c>
      <c r="K58" s="142" t="str">
        <f>IFERROR(IF(Tidstabel[[#This Row],[År]]&gt;Input_Tidshorisont,BlankTegn,
-1*INDEX(Range_Energi_ÅrligBesparelse,MATCH(Input_EksisterendeFacade,Energiberegning[Ydervæg],0),MATCH(Tidstabel[[#This Row],[Årstal]],Range_Energi_Årstal,0))),BlankTegn)</f>
        <v>.</v>
      </c>
      <c r="L58" s="142" t="str">
        <f>IF(Tidstabel[[#This Row],[År]]&gt;Input_Tidshorisont,BlankTegn,
(Tidstabel[[#This Row],[År]]+1)*(SUM(Vedligeholdelsesmaterialer[Facadefarve],Vedligeholdelsesmaterialer[Grunder og mellemmaling])/12+SUM(Vedligeholdelsesmaterialer[Puds])/30))</f>
        <v>.</v>
      </c>
      <c r="M58" s="142" t="str">
        <f>IFERROR(IF(Tidstabel[[#This Row],[År]]&gt;Input_Tidshorisont,BlankTegn,
Tidstabel[[#This Row],[Materialer_Total]]+Tidstabel[[#This Row],[Byggeprocess]]),BlankTegn)</f>
        <v>.</v>
      </c>
      <c r="N58" s="142" t="str">
        <f>IFERROR(IF(Tidstabel[[#This Row],[År]]&gt;Input_Tidshorisont,BlankTegn,
Tidstabel[[#This Row],[Energibesparelse]]+Tidstabel[[#This Row],[Emission_Brutto]]),BlankTegn)</f>
        <v>.</v>
      </c>
      <c r="O58" s="142" t="str">
        <f>IFERROR(IF(Tidstabel[[#This Row],[År]]&gt;Input_Tidshorisont,BlankTegn,
Tidstabel[[#This Row],[Emission_Netto]]-Tidstabel[[#This Row],[Vedligehold_EksisterendeFacade]]),BlankTegn)</f>
        <v>.</v>
      </c>
      <c r="P58" s="271" t="str">
        <f>IFERROR(IF(Tidstabel[[#This Row],[År]]&gt;Input_Tidshorisont,BlankTegn,
IF(AND(Tidstabel[[#This Row],[Emission_Netto]]-Tidstabel[[#This Row],[Vedligehold_EksisterendeFacade]]&gt;0,N59-L59&lt;0),-1,IF(AND(Tidstabel[[#This Row],[Emission_Netto]]-Tidstabel[[#This Row],[Vedligehold_EksisterendeFacade]]&lt;0,N59-L59&gt;0),1,0))),BlankTegn)</f>
        <v>.</v>
      </c>
      <c r="Q58" s="174" t="str">
        <f>IF(Tidstabel[[#This Row],[År]]&gt;Input_Tidshorisont,BlankTegn,
IF(Tidstabel[[#This Row],[LCA-Skæring]]=-1,SUM(Tidstabel[[#This Row],[År]]*(1-ABS(Tidstabel[[#This Row],[LCA-Difference]])/(ABS(Tidstabel[[#This Row],[LCA-Difference]])+ABS(O59))),A59*(1-ABS(O59)/(ABS(Tidstabel[[#This Row],[LCA-Difference]])+ABS(O59)))),"-"))</f>
        <v>.</v>
      </c>
      <c r="R58" s="174" t="str">
        <f>IF(Tidstabel[[#This Row],[År]]&gt;Input_Tidshorisont,BlankTegn,
IF(Tidstabel[[#This Row],[LCA-Skæring]]=-1,SUM(Tidstabel[[#This Row],[Emission_Netto]]*(1-ABS(Tidstabel[[#This Row],[LCA-Difference]])/(ABS(Tidstabel[[#This Row],[LCA-Difference]])+ABS(O59))),N59*(1-ABS(O59)/(ABS(Tidstabel[[#This Row],[LCA-Difference]])+ABS(O59)))),"-"))</f>
        <v>.</v>
      </c>
      <c r="S58" s="174" t="str">
        <f>IF(Tidstabel[[#This Row],[År]]&gt;Input_Tidshorisont,BlankTegn,
IF(Tidstabel[[#This Row],[LCA-Skæring]]=1,SUM(Tidstabel[[#This Row],[År]]*(1-ABS(Tidstabel[[#This Row],[LCA-Difference]])/(ABS(Tidstabel[[#This Row],[LCA-Difference]])+ABS(O59))),A59*(1-ABS(O59)/(ABS(Tidstabel[[#This Row],[LCA-Difference]])+ABS(O59)))),"-"))</f>
        <v>.</v>
      </c>
      <c r="T58" s="264" t="str">
        <f>IF(Tidstabel[[#This Row],[År]]&gt;Input_Tidshorisont,BlankTegn,
IF(Tidstabel[[#This Row],[LCA-Skæring]]=1,SUM(Tidstabel[[#This Row],[Emission_Netto]]*(1-ABS(Tidstabel[[#This Row],[LCA-Difference]])/(ABS(Tidstabel[[#This Row],[LCA-Difference]])+ABS(O59))),N59*(1-ABS(O59)/(ABS(Tidstabel[[#This Row],[LCA-Difference]])+ABS(O59)))),"-"))</f>
        <v>.</v>
      </c>
      <c r="U58" s="142" t="str">
        <f>IFERROR(IF(Tidstabel[[#This Row],[År]]&gt;Input_Tidshorisont,BlankTegn,
Tidstabel[[#This Row],[NPV_Klimafacade]]-Tidstabel[[#This Row],[NPV_Eksisterende]]),BlankTegn)</f>
        <v>.</v>
      </c>
      <c r="V58" s="271" t="str">
        <f>IFERROR(IF(Tidstabel[[#This Row],[År]]&gt;Input_Tidshorisont,BlankTegn,
IF(AND(Tidstabel[[#This Row],[NPV_Klimafacade]]-Tidstabel[[#This Row],[NPV_Eksisterende]]&gt;0,AB59-AA59&lt;0),1,IF(AND(Tidstabel[[#This Row],[NPV_Klimafacade]]-Tidstabel[[#This Row],[NPV_Eksisterende]]&lt;0,AB59-AA59&gt;0),-1,0))),BlankTegn)</f>
        <v>.</v>
      </c>
      <c r="W58" s="174" t="str">
        <f>IF(Tidstabel[[#This Row],[År]]&gt;Input_Tidshorisont,BlankTegn,
IF(Tidstabel[[#This Row],[LCC-Skæring]]=-1,SUM(Tidstabel[[#This Row],[År]]*(1-ABS(Tidstabel[[#This Row],[LCC-Difference]])/(ABS(Tidstabel[[#This Row],[LCC-Difference]])+ABS(U59))),A59*(1-ABS(U59)/(ABS(Tidstabel[[#This Row],[LCC-Difference]])+ABS(U59)))),"-"))</f>
        <v>.</v>
      </c>
      <c r="X58" s="174" t="str">
        <f>IF(Tidstabel[[#This Row],[År]]&gt;Input_Tidshorisont,BlankTegn,
IF(Tidstabel[[#This Row],[LCC-Skæring]]=-1,SUM(Tidstabel[[#This Row],[NPV_Klimafacade]]*(1-ABS(Tidstabel[[#This Row],[LCC-Difference]])/(ABS(Tidstabel[[#This Row],[LCC-Difference]])+ABS(U59))),AB59*(1-ABS(U59)/(ABS(Tidstabel[[#This Row],[LCC-Difference]])+ABS(U59)))),"-"))</f>
        <v>.</v>
      </c>
      <c r="Y58" s="174" t="str">
        <f>IF(Tidstabel[[#This Row],[År]]&gt;Input_Tidshorisont,BlankTegn,
IF(Tidstabel[[#This Row],[LCC-Skæring]]=1,SUM(Tidstabel[[#This Row],[År]]*(1-ABS(Tidstabel[[#This Row],[LCC-Difference]])/(ABS(Tidstabel[[#This Row],[LCC-Difference]])+ABS(U59))),A59*(1-ABS(U59)/(ABS(Tidstabel[[#This Row],[LCC-Difference]])+ABS(U59)))),"-"))</f>
        <v>.</v>
      </c>
      <c r="Z58" s="264" t="str">
        <f>IF(Tidstabel[[#This Row],[År]]&gt;Input_Tidshorisont,BlankTegn,
IF(Tidstabel[[#This Row],[LCC-Skæring]]=1,SUM(Tidstabel[[#This Row],[NPV_Klimafacade]]*(1-ABS(Tidstabel[[#This Row],[LCC-Difference]])/(ABS(Tidstabel[[#This Row],[LCC-Difference]])+ABS(U59))),AB59*(1-ABS(U59)/(ABS(Tidstabel[[#This Row],[LCC-Difference]])+ABS(U59)))),"-"))</f>
        <v>.</v>
      </c>
      <c r="AA58" s="142" t="str">
        <f>IF(Tidstabel[[#This Row],[År]]&gt;Input_Tidshorisont,BlankTegn,
Tidstabel[[#This Row],[EF_Vedligehold_Aggregeret]])</f>
        <v>.</v>
      </c>
      <c r="AB58"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58" s="142" t="str">
        <f>IFERROR(IF(Tidstabel[[#This Row],[År]]&gt;Input_Tidshorisont,BlankTegn,
Tidstabel[[#This Row],[KF_Anskaffelse_Aggregeret]]+Tidstabel[[#This Row],[KF_Engangsudgifter_Aggregeret]]),BlankTegn)</f>
        <v>.</v>
      </c>
      <c r="AD58" s="174" t="str">
        <f>IFERROR(IF(Tidstabel[[#This Row],[År]]&gt;Input_Tidshorisont,BlankTegn,
IF(Tidstabel[[#This Row],[År]]=0,0,Tidstabel[[#This Row],[NPV_Eksisterende]]*(Tidstabel[[#This Row],[Kalkulationsrente]]/(1-(1+Tidstabel[[#This Row],[Kalkulationsrente]])^-Tidstabel[[#This Row],[År]])))),BlankTegn)</f>
        <v>.</v>
      </c>
      <c r="AE58" s="264" t="str">
        <f>IFERROR(IF(Tidstabel[[#This Row],[År]]&gt;Input_Tidshorisont,BlankTegn,
IF(Tidstabel[[#This Row],[År]]=0,0,Tidstabel[[#This Row],[NPV_Klimafacade]]*(Tidstabel[[#This Row],[Kalkulationsrente]]/(1-(1+Tidstabel[[#This Row],[Kalkulationsrente]])^-Tidstabel[[#This Row],[År]])))),BlankTegn)</f>
        <v>.</v>
      </c>
      <c r="AF58" s="270" t="str">
        <f ca="1">IF(Tidstabel[[#This Row],[År]]&gt;Input_Tidshorisont,BlankTegn,
IF(EF_Vedligehold_i=1,IF(Tidstabel[[#This Row],[EF_Uds?]]=0,1,0),IF(MAX(AF57:OFFSET(AG57,2-EF_Vedligehold_i,0),Tidstabel[[#This Row],[EF_Uds?]])=0,1,0)))</f>
        <v>.</v>
      </c>
      <c r="AG58" s="181" t="str">
        <f>IF(Tidstabel[[#This Row],[År]]&gt;Input_Tidshorisont,BlankTegn,0)</f>
        <v>.</v>
      </c>
      <c r="AH58" s="263" t="str">
        <f>IF(Tidstabel[[#This Row],[År]]&gt;Input_Tidshorisont,BlankTegn,
Tidstabel[[#This Row],[EF_Ved?]]*EF_Vedligehold_p*-EF_Enhedspris*((1+Tidstabel[[#This Row],[Kalkulationsrente]])^-Tidstabel[[#This Row],[År]])*((1+PrisudviklingGenerelt)^Tidstabel[[#This Row],[År]]))</f>
        <v>.</v>
      </c>
      <c r="AI58" s="262" t="str">
        <f>IF(Tidstabel[[#This Row],[År]]&gt;Input_Tidshorisont,BlankTegn,
IF(Tidstabel[[#This Row],[År]]=0,Tidstabel[[#This Row],[EF_Vedligehold]],AI57+Tidstabel[[#This Row],[EF_Vedligehold]]))</f>
        <v>.</v>
      </c>
      <c r="AJ58" s="245" t="str">
        <f>IFERROR(IF(Tidstabel[[#This Row],[År]]&gt;Input_Tidshorisont,BlankTegn,
Tidstabel[[#This Row],[FB_Anskaffelse]]+Tidstabel[[#This Row],[VS_Anskaffelse]]+Tidstabel[[#This Row],[EI_Anskaffelse]]+Tidstabel[[#This Row],[AP_Anskaffelse]]+Tidstabel[[#This Row],[SK_Anskaffelse]]),BlankTegn)</f>
        <v>.</v>
      </c>
      <c r="AK58" s="245" t="str">
        <f>IFERROR(IF(Tidstabel[[#This Row],[År]]&gt;Input_Tidshorisont,BlankTegn,
IF(Tidstabel[[#This Row],[År]]=0,Tidstabel[[#This Row],[KF_Anskaffelse]],AK57+Tidstabel[[#This Row],[KF_Anskaffelse]])),BlankTegn)</f>
        <v>.</v>
      </c>
      <c r="AL58" s="246" t="str">
        <f>IFERROR(IF(Tidstabel[[#This Row],[År]]&gt;Input_Tidshorisont,BlankTegn,
Tidstabel[[#This Row],[FB_Vedligehold]]+Tidstabel[[#This Row],[VS_Vedligehold]]+Tidstabel[[#This Row],[EI_Vedligehold]]+Tidstabel[[#This Row],[AP_Vedligehold]]+Tidstabel[[#This Row],[SK_Vedligehold]]),BlankTegn)</f>
        <v>.</v>
      </c>
      <c r="AM58" s="245" t="str">
        <f>IFERROR(IF(Tidstabel[[#This Row],[År]]&gt;Input_Tidshorisont,BlankTegn,
IF(Tidstabel[[#This Row],[År]]=0,Tidstabel[[#This Row],[KF_Vedligehold]],AM57+Tidstabel[[#This Row],[KF_Vedligehold]])),BlankTegn)</f>
        <v>.</v>
      </c>
      <c r="AN58"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58"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58" s="245" t="str">
        <f>IFERROR(IF(Tidstabel[[#This Row],[År]]&gt;Input_Tidshorisont,BlankTegn,
IF(Tidstabel[[#This Row],[År]]=0,Tidstabel[[#This Row],[KF_Udskiftning_Komponent]],AP57+Tidstabel[[#This Row],[KF_Udskiftning_Komponent]])),BlankTegn)</f>
        <v>.</v>
      </c>
      <c r="AQ58" s="245" t="str">
        <f>IF(Tidstabel[[#This Row],[År]]&gt;Input_Tidshorisont,BlankTegn,
IF(Tidstabel[[#This Row],[År]]=0,-SUM(Engangsudgifter[Udgift]),0))</f>
        <v>.</v>
      </c>
      <c r="AR58" s="245" t="str">
        <f>IFERROR(IF(Tidstabel[[#This Row],[År]]&gt;Input_Tidshorisont,BlankTegn,
IF(Tidstabel[[#This Row],[År]]=0,Tidstabel[[#This Row],[KF_Engangsudgifter]],AR57+Tidstabel[[#This Row],[KF_Engangsudgifter]])),BlankTegn)</f>
        <v>.</v>
      </c>
      <c r="AS58" s="315" t="str">
        <f>IFERROR(IF(Tidstabel[[#This Row],[År]]&gt;Input_Tidshorisont,BlankTegn,
-Energibesparelse_Årlig),BlankTegn)</f>
        <v>.</v>
      </c>
      <c r="AT58" s="245" t="str">
        <f>IFERROR(IF(Tidstabel[[#This Row],[År]]&gt;Input_Tidshorisont,BlankTegn,
IF(Tidstabel[[#This Row],[År]]=0,0,-Tidstabel[[#This Row],[KF_Energiforbrug]]*Input_Fjernvarmepris*((1+Tidstabel[[#This Row],[Kalkulationsrente]])^-Tidstabel[[#This Row],[År]])*((1+PrisudviklingFjernvarme)^Tidstabel[[#This Row],[År]]))),BlankTegn)</f>
        <v>.</v>
      </c>
      <c r="AU58" s="262" t="str">
        <f>IFERROR(IF(Tidstabel[[#This Row],[År]]&gt;Input_Tidshorisont,BlankTegn,
IF(Tidstabel[[#This Row],[År]]=0,Tidstabel[[#This Row],[KF_Forsyning]],AU57+Tidstabel[[#This Row],[KF_Forsyning]])),BlankTegn)</f>
        <v>.</v>
      </c>
      <c r="AV58" s="245" t="str">
        <f>IFERROR(IF(Tidstabel[[#This Row],[År]]&gt;Input_Tidshorisont,BlankTegn,
IF(Tidstabel[[#This Row],[År]]=0,-FB_Enhedspris,0)),BlankTegn)</f>
        <v>.</v>
      </c>
      <c r="AW58" s="245" t="str">
        <f>IFERROR(IF(Tidstabel[[#This Row],[År]]&gt;Input_Tidshorisont,BlankTegn,
IF(Tidstabel[[#This Row],[År]]=0,FB_Enhedspris/FB_Levetid,AW57*((1+Tidstabel[[#This Row],[Kalkulationsrente]])^-1)*((1+PrisudviklingGenerelt)^1))),BlankTegn)</f>
        <v>.</v>
      </c>
      <c r="AX58" s="178" t="str">
        <f ca="1">IFERROR(IF(Tidstabel[[#This Row],[År]]&gt;Input_Tidshorisont,BlankTegn,
IF(FB_Vedligehold_i=1,IF(Tidstabel[[#This Row],[FB_Uds?]]=0,1,0),IF(MAX(AX57:OFFSET(AY57,2-FB_Vedligehold_i,0),Tidstabel[[#This Row],[FB_Uds?]])=0,1,0))),BlankTegn)</f>
        <v>.</v>
      </c>
      <c r="AY58" s="178" t="str">
        <f>IFERROR(IF(Tidstabel[[#This Row],[År]]&gt;Input_Tidshorisont,BlankTegn,
IF(Tidstabel[[#This Row],[År]]=0,1,IF(MOD(Tidstabel[[#This Row],[År]],FB_Levetid)=0,1,IF(Tidstabel[[#This Row],[År]]=Input_Tidshorisont,0,0)))),BlankTegn)</f>
        <v>.</v>
      </c>
      <c r="AZ58" s="245" t="str">
        <f>IFERROR(IF(Tidstabel[[#This Row],[År]]&gt;Input_Tidshorisont,BlankTegn,
FB_Vedligehold_p*-FB_Enhedspris*Tidstabel[[#This Row],[FB_Ved?]]*((1+Tidstabel[[#This Row],[Kalkulationsrente]])^-Tidstabel[[#This Row],[År]])*((1+PrisudviklingGenerelt)^Tidstabel[[#This Row],[År]])),BlankTegn)</f>
        <v>.</v>
      </c>
      <c r="BA58" s="245" t="str">
        <f>IFERROR(IF(Tidstabel[[#This Row],[År]]&gt;Input_Tidshorisont,BlankTegn,
IF(Tidstabel[[#This Row],[År]]=0,FB_Enhedspris,SUM(BA57:BB57)*((1+Tidstabel[[#This Row],[Kalkulationsrente]])^-1)*((1+PrisudviklingGenerelt)^1)-Tidstabel[[#This Row],[FB_Afskrivning]])),BlankTegn)</f>
        <v>.</v>
      </c>
      <c r="BB58" s="245" t="str">
        <f>IFERROR(IF(Tidstabel[[#This Row],[År]]&gt;Input_Tidshorisont,BlankTegn,
IF(Tidstabel[[#This Row],[År]]=0,0,Tidstabel[[#This Row],[FB_Uds?]]*FB_Enhedspris*((1+Tidstabel[[#This Row],[Kalkulationsrente]])^-Tidstabel[[#This Row],[År]])*((1+PrisudviklingGenerelt)^Tidstabel[[#This Row],[År]]))),BlankTegn)</f>
        <v>.</v>
      </c>
      <c r="BC58" s="262" t="str">
        <f>IFERROR(IF(Tidstabel[[#This Row],[År]]&gt;Input_Tidshorisont,BlankTegn,
IF(Tidstabel[[#This Row],[År]]=0,0,Tidstabel[[#This Row],[FB_Uds?]]*-FB_Enhedspris*FB_Genoprettelse*((1+Tidstabel[[#This Row],[Kalkulationsrente]])^-Tidstabel[[#This Row],[År]])*((1+PrisudviklingGenerelt)^Tidstabel[[#This Row],[År]]))),BlankTegn)</f>
        <v>.</v>
      </c>
      <c r="BD58" s="245" t="str">
        <f>IFERROR(IF(Tidstabel[[#This Row],[År]]&gt;Input_Tidshorisont,BlankTegn,
IF(Tidstabel[[#This Row],[År]]=0,-VS_Enhedspris,0)),BlankTegn)</f>
        <v>.</v>
      </c>
      <c r="BE58" s="245" t="str">
        <f>IFERROR(IF(Tidstabel[[#This Row],[År]]&gt;Input_Tidshorisont,BlankTegn,
IF(Tidstabel[[#This Row],[År]]=0,VS_Enhedspris/VS_Levetid,BE57*((1+Tidstabel[[#This Row],[Kalkulationsrente]])^-1)*((1+PrisudviklingGenerelt)^1))),BlankTegn)</f>
        <v>.</v>
      </c>
      <c r="BF58" s="178" t="str">
        <f ca="1">IFERROR(IF(Tidstabel[[#This Row],[År]]&gt;Input_Tidshorisont,BlankTegn,
IF(VS_Vedligehold_i=1,IF(Tidstabel[[#This Row],[VS_Uds?]]=0,1,0),IF(MAX(BF57:OFFSET(BG57,2-VS_Vedligehold_i,0),Tidstabel[[#This Row],[VS_Uds?]])=0,1,0))),BlankTegn)</f>
        <v>.</v>
      </c>
      <c r="BG58" s="178" t="str">
        <f>IFERROR(IF(Tidstabel[[#This Row],[År]]&gt;Input_Tidshorisont,BlankTegn,
IF(Tidstabel[[#This Row],[År]]=0,1,IF(MOD(Tidstabel[[#This Row],[År]],VS_Levetid)=0,1,IF(Tidstabel[[#This Row],[År]]=Input_Tidshorisont,0,0)))),BlankTegn)</f>
        <v>.</v>
      </c>
      <c r="BH58" s="245" t="str">
        <f>IFERROR(IF(Tidstabel[[#This Row],[År]]&gt;Input_Tidshorisont,BlankTegn,
VS_Vedligehold_p*-VS_Enhedspris*Tidstabel[[#This Row],[VS_Ved?]]*((1+Tidstabel[[#This Row],[Kalkulationsrente]])^-Tidstabel[[#This Row],[År]])*((1+PrisudviklingGenerelt)^Tidstabel[[#This Row],[År]])),BlankTegn)</f>
        <v>.</v>
      </c>
      <c r="BI58" s="245" t="str">
        <f>IFERROR(IF(Tidstabel[[#This Row],[År]]&gt;Input_Tidshorisont,BlankTegn,
IF(Tidstabel[[#This Row],[År]]=0,VS_Enhedspris,SUM(BI57:BJ57)*((1+Tidstabel[[#This Row],[Kalkulationsrente]])^-1)*((1+PrisudviklingGenerelt)^1)-Tidstabel[[#This Row],[VS_Afskrivning]])),BlankTegn)</f>
        <v>.</v>
      </c>
      <c r="BJ58" s="245" t="str">
        <f>IFERROR(IF(Tidstabel[[#This Row],[År]]&gt;Input_Tidshorisont,BlankTegn,
IF(Tidstabel[[#This Row],[År]]=0,0,Tidstabel[[#This Row],[VS_Uds?]]*VS_Enhedspris*((1+Tidstabel[[#This Row],[Kalkulationsrente]])^-Tidstabel[[#This Row],[År]])*((1+PrisudviklingGenerelt)^Tidstabel[[#This Row],[År]]))),BlankTegn)</f>
        <v>.</v>
      </c>
      <c r="BK58" s="262" t="str">
        <f>IFERROR(IF(Tidstabel[[#This Row],[År]]&gt;Input_Tidshorisont,BlankTegn,
IF(Tidstabel[[#This Row],[År]]=0,0,Tidstabel[[#This Row],[VS_Uds?]]*-VS_Enhedspris*VS_Genoprettelse*((1+Tidstabel[[#This Row],[Kalkulationsrente]])^-Tidstabel[[#This Row],[År]])*((1+PrisudviklingGenerelt)^Tidstabel[[#This Row],[År]]))),BlankTegn)</f>
        <v>.</v>
      </c>
      <c r="BL58" s="245" t="str">
        <f>IFERROR(IF(Tidstabel[[#This Row],[År]]&gt;Input_Tidshorisont,BlankTegn,
IF(Tidstabel[[#This Row],[År]]=0,-EI_Enhedspris,0)),BlankTegn)</f>
        <v>.</v>
      </c>
      <c r="BM58" s="245" t="str">
        <f>IFERROR(IF(Tidstabel[[#This Row],[År]]&gt;Input_Tidshorisont,BlankTegn,
IF(Tidstabel[[#This Row],[År]]=0,EI_Enhedspris/EI_Levetid,BM57*((1+Tidstabel[[#This Row],[Kalkulationsrente]])^-1)*((1+PrisudviklingGenerelt)^1))),BlankTegn)</f>
        <v>.</v>
      </c>
      <c r="BN58" s="178" t="str">
        <f ca="1">IFERROR(IF(Tidstabel[[#This Row],[År]]&gt;Input_Tidshorisont,BlankTegn,
IF(EI_Vedligehold_i=1,IF(Tidstabel[[#This Row],[EI_Uds?]]=0,1,0),IF(MAX(BN57:OFFSET(BO57,2-EI_Vedligehold_i,0),Tidstabel[[#This Row],[EI_Uds?]])=0,1,0))),BlankTegn)</f>
        <v>.</v>
      </c>
      <c r="BO58" s="178" t="str">
        <f>IFERROR(IF(Tidstabel[[#This Row],[År]]&gt;Input_Tidshorisont,BlankTegn,
IF(Tidstabel[[#This Row],[År]]=0,1,IF(MOD(Tidstabel[[#This Row],[År]],EI_Levetid)=0,1,IF(Tidstabel[[#This Row],[År]]=Input_Tidshorisont,0,0)))),BlankTegn)</f>
        <v>.</v>
      </c>
      <c r="BP58" s="245" t="str">
        <f>IFERROR(IF(Tidstabel[[#This Row],[År]]&gt;Input_Tidshorisont,BlankTegn,
EI_Vedligehold_p*-EI_Enhedspris*Tidstabel[[#This Row],[EI_Ved?]]*((1+Tidstabel[[#This Row],[Kalkulationsrente]])^-Tidstabel[[#This Row],[År]])*((1+PrisudviklingGenerelt)^Tidstabel[[#This Row],[År]])),BlankTegn)</f>
        <v>.</v>
      </c>
      <c r="BQ58" s="245" t="str">
        <f>IFERROR(IF(Tidstabel[[#This Row],[År]]&gt;Input_Tidshorisont,BlankTegn,
IF(Tidstabel[[#This Row],[År]]=0,EI_Enhedspris,SUM(BQ57:BR57)*((1+Tidstabel[[#This Row],[Kalkulationsrente]])^-1)*((1+PrisudviklingGenerelt)^1)-Tidstabel[[#This Row],[EI_Afskrivning]])),BlankTegn)</f>
        <v>.</v>
      </c>
      <c r="BR58" s="245" t="str">
        <f>IFERROR(IF(Tidstabel[[#This Row],[År]]&gt;Input_Tidshorisont,BlankTegn,
IF(Tidstabel[[#This Row],[År]]=0,0,Tidstabel[[#This Row],[EI_Uds?]]*EI_Enhedspris*((1+Tidstabel[[#This Row],[Kalkulationsrente]])^-Tidstabel[[#This Row],[År]])*((1+PrisudviklingGenerelt)^Tidstabel[[#This Row],[År]]))),BlankTegn)</f>
        <v>.</v>
      </c>
      <c r="BS58" s="262" t="str">
        <f>IFERROR(IF(Tidstabel[[#This Row],[År]]&gt;Input_Tidshorisont,BlankTegn,
IF(Tidstabel[[#This Row],[År]]=0,0,Tidstabel[[#This Row],[EI_Uds?]]*-EI_Enhedspris*EI_Genoprettelse*((1+Tidstabel[[#This Row],[Kalkulationsrente]])^-Tidstabel[[#This Row],[År]])*((1+PrisudviklingGenerelt)^Tidstabel[[#This Row],[År]]))),BlankTegn)</f>
        <v>.</v>
      </c>
      <c r="BT58" s="245" t="str">
        <f>IFERROR(IF(Tidstabel[[#This Row],[År]]&gt;Input_Tidshorisont,BlankTegn,
IF(Tidstabel[[#This Row],[År]]=0,-AP_Enhedspris,0)),BlankTegn)</f>
        <v>.</v>
      </c>
      <c r="BU58" s="245" t="str">
        <f>IFERROR(IF(Tidstabel[[#This Row],[År]]&gt;Input_Tidshorisont,BlankTegn,
IF(Tidstabel[[#This Row],[År]]=0,AP_Enhedspris/AP_Levetid,BU57*((1+Tidstabel[[#This Row],[Kalkulationsrente]])^-1)*((1+PrisudviklingGenerelt)^1))),BlankTegn)</f>
        <v>.</v>
      </c>
      <c r="BV58" s="178" t="str">
        <f ca="1">IFERROR(IF(Tidstabel[[#This Row],[År]]&gt;Input_Tidshorisont,BlankTegn,
IF(AP_Vedligehold_i=1,IF(Tidstabel[[#This Row],[AP_Uds?]]=0,1,0),IF(MAX(BV57:OFFSET(BW57,2-AP_Vedligehold_i,0),Tidstabel[[#This Row],[AP_Uds?]])=0,1,0))),BlankTegn)</f>
        <v>.</v>
      </c>
      <c r="BW58" s="178" t="str">
        <f>IFERROR(IF(Tidstabel[[#This Row],[År]]&gt;Input_Tidshorisont,BlankTegn,
IF(Tidstabel[[#This Row],[År]]=0,1,IF(MOD(Tidstabel[[#This Row],[År]],AP_Levetid)=0,1,IF(Tidstabel[[#This Row],[År]]=Input_Tidshorisont,0,0)))),BlankTegn)</f>
        <v>.</v>
      </c>
      <c r="BX58" s="245" t="str">
        <f>IFERROR(IF(Tidstabel[[#This Row],[År]]&gt;Input_Tidshorisont,BlankTegn,
AP_Vedligehold_p*-AP_Enhedspris*Tidstabel[[#This Row],[AP_Ved?]]*((1+Tidstabel[[#This Row],[Kalkulationsrente]])^-Tidstabel[[#This Row],[År]])*((1+PrisudviklingGenerelt)^Tidstabel[[#This Row],[År]])),BlankTegn)</f>
        <v>.</v>
      </c>
      <c r="BY58" s="245" t="str">
        <f>IFERROR(IF(Tidstabel[[#This Row],[År]]&gt;Input_Tidshorisont,BlankTegn,
IF(Tidstabel[[#This Row],[År]]=0,AP_Enhedspris,SUM(BY57:BZ57)*((1+Tidstabel[[#This Row],[Kalkulationsrente]])^-1)*((1+PrisudviklingGenerelt)^1)-Tidstabel[[#This Row],[AP_Afskrivning]])),BlankTegn)</f>
        <v>.</v>
      </c>
      <c r="BZ58" s="245" t="str">
        <f>IFERROR(IF(Tidstabel[[#This Row],[År]]&gt;Input_Tidshorisont,BlankTegn,
IF(Tidstabel[[#This Row],[År]]=0,0,Tidstabel[[#This Row],[AP_Uds?]]*AP_Enhedspris*((1+Tidstabel[[#This Row],[Kalkulationsrente]])^-Tidstabel[[#This Row],[År]])*((1+PrisudviklingGenerelt)^Tidstabel[[#This Row],[År]]))),BlankTegn)</f>
        <v>.</v>
      </c>
      <c r="CA58" s="262" t="str">
        <f>IFERROR(IF(Tidstabel[[#This Row],[År]]&gt;Input_Tidshorisont,BlankTegn,
IF(Tidstabel[[#This Row],[År]]=0,0,Tidstabel[[#This Row],[AP_Uds?]]*-AP_Enhedspris*AP_Genoprettelse*((1+Tidstabel[[#This Row],[Kalkulationsrente]])^-Tidstabel[[#This Row],[År]])*((1+PrisudviklingGenerelt)^Tidstabel[[#This Row],[År]]))),BlankTegn)</f>
        <v>.</v>
      </c>
      <c r="CB58" s="245" t="str">
        <f>IFERROR(IF(Tidstabel[[#This Row],[År]]&gt;Input_Tidshorisont,BlankTegn,
IF(Tidstabel[[#This Row],[År]]=0,-SK_Enhedspris,0)),BlankTegn)</f>
        <v>.</v>
      </c>
      <c r="CC58" s="245" t="str">
        <f>IFERROR(IF(Tidstabel[[#This Row],[År]]&gt;Input_Tidshorisont,BlankTegn,
IF(Tidstabel[[#This Row],[År]]=0,SK_Enhedspris/SK_Levetid,CC57*((1+Tidstabel[[#This Row],[Kalkulationsrente]])^-1)*((1+PrisudviklingGenerelt)^1))),BlankTegn)</f>
        <v>.</v>
      </c>
      <c r="CD58" s="178" t="str">
        <f ca="1">IFERROR(IF(Tidstabel[[#This Row],[År]]&gt;Input_Tidshorisont,BlankTegn,
IF(SK_Vedligehold_i=1,IF(Tidstabel[[#This Row],[SK_Uds?]]=0,1,0),IF(MAX(CD57:OFFSET(CE57,2-SK_Vedligehold_i,0),Tidstabel[[#This Row],[SK_Uds?]])=0,1,0))),BlankTegn)</f>
        <v>.</v>
      </c>
      <c r="CE58" s="178" t="str">
        <f>IFERROR(IF(Tidstabel[[#This Row],[År]]&gt;Input_Tidshorisont,BlankTegn,
IF(Tidstabel[[#This Row],[År]]=0,1,IF(MOD(Tidstabel[[#This Row],[År]],SK_Levetid)=0,1,IF(Tidstabel[[#This Row],[År]]=Input_Tidshorisont,0,0)))),BlankTegn)</f>
        <v>.</v>
      </c>
      <c r="CF58" s="245" t="str">
        <f>IFERROR(IF(Tidstabel[[#This Row],[År]]&gt;Input_Tidshorisont,BlankTegn,
SK_Vedligehold_p*-SK_Enhedspris*Tidstabel[[#This Row],[SK_Ved?]]*((1+Tidstabel[[#This Row],[Kalkulationsrente]])^-Tidstabel[[#This Row],[År]])*((1+PrisudviklingGenerelt)^Tidstabel[[#This Row],[År]])),BlankTegn)</f>
        <v>.</v>
      </c>
      <c r="CG58" s="245" t="str">
        <f>IFERROR(IF(Tidstabel[[#This Row],[År]]&gt;Input_Tidshorisont,BlankTegn,
IF(Tidstabel[[#This Row],[År]]=0,SK_Enhedspris,SUM(CG57:CH57)*((1+Tidstabel[[#This Row],[Kalkulationsrente]])^-1)*((1+PrisudviklingGenerelt)^1)-Tidstabel[[#This Row],[SK_Afskrivning]])),BlankTegn)</f>
        <v>.</v>
      </c>
      <c r="CH58" s="245" t="str">
        <f>IFERROR(IF(Tidstabel[[#This Row],[År]]&gt;Input_Tidshorisont,BlankTegn,
IF(Tidstabel[[#This Row],[År]]=0,0,Tidstabel[[#This Row],[SK_Uds?]]*SK_Enhedspris*((1+Tidstabel[[#This Row],[Kalkulationsrente]])^-Tidstabel[[#This Row],[År]])*((1+PrisudviklingGenerelt)^Tidstabel[[#This Row],[År]]))),BlankTegn)</f>
        <v>.</v>
      </c>
      <c r="CI58" s="262" t="str">
        <f>IFERROR(IF(Tidstabel[[#This Row],[År]]&gt;Input_Tidshorisont,BlankTegn,
IF(Tidstabel[[#This Row],[År]]=0,0,Tidstabel[[#This Row],[SK_Uds?]]*-SK_Enhedspris*SK_Genoprettelse*((1+Tidstabel[[#This Row],[Kalkulationsrente]])^-Tidstabel[[#This Row],[År]])*((1+PrisudviklingGenerelt)^Tidstabel[[#This Row],[År]]))),BlankTegn)</f>
        <v>.</v>
      </c>
      <c r="CJ58" s="19"/>
    </row>
    <row r="59" spans="1:88">
      <c r="A59" s="250">
        <v>52</v>
      </c>
      <c r="B59" s="250">
        <f>Input_Etableringsår+Tidstabel[[#This Row],[År]]</f>
        <v>2076</v>
      </c>
      <c r="C59" s="274" cm="1">
        <f t="array" ref="C59">_xlfn.IFS(Tidstabel[[#This Row],[År]]&gt;KR_Trin3_Tærskel,KR_Trin3_Rente,Tidstabel[[#This Row],[År]]&gt;KR_Trin2_Tærskel,KR_Trin2_Rente,Tidstabel[[#This Row],[År]]&gt;KR_Trin1_Tærskel,KR_Trin1_Rente,Tidstabel[[#This Row],[År]]&gt;KR_Trin0_Tærskel,KR_Trin0_Rente)</f>
        <v>2.5000000000000001E-2</v>
      </c>
      <c r="D59" s="142" t="str" cm="1">
        <f t="array" ref="D59">IFERROR(
INDEX(Range_Materiale_ÅrligeEmissioner,MATCH(1,(Materialedata[Komponent]=FB_Titel)*(Materialedata[Materiale]=FB_Materiale),0),MATCH(Tidstabel[[#This Row],[År]],Range_Materiale_År,0)),BlankTegn)</f>
        <v>.</v>
      </c>
      <c r="E59" s="142" t="str" cm="1">
        <f t="array" ref="E59">IFERROR(
INDEX(Range_Materiale_ÅrligeEmissioner,MATCH(1,(Materialedata[Komponent]=SK_Titel)*(Materialedata[Materiale]=SK_Materiale),0),MATCH(Tidstabel[[#This Row],[År]],Range_Materiale_År,0)),BlankTegn)</f>
        <v>.</v>
      </c>
      <c r="F59" s="142" t="str" cm="1">
        <f t="array" ref="F59">IFERROR(
INDEX(Range_Materiale_ÅrligeEmissioner,MATCH(1,(Materialedata[Komponent]=EI_Titel)*(Materialedata[Materiale]=EI_Materiale),0),MATCH(Tidstabel[[#This Row],[År]],Range_Materiale_År,0)),BlankTegn)</f>
        <v>.</v>
      </c>
      <c r="G59" s="142" t="str" cm="1">
        <f t="array" ref="G59">IFERROR(
INDEX(Range_Materiale_ÅrligeEmissioner,MATCH(1,(Materialedata[Komponent]=AP_Titel)*(Materialedata[Materiale]=AP_Materiale),0),MATCH(Tidstabel[[#This Row],[År]],Range_Materiale_År,0)),BlankTegn)</f>
        <v>.</v>
      </c>
      <c r="H59" s="142" t="str" cm="1">
        <f t="array" ref="H59">IFERROR(
INDEX(Range_Materiale_ÅrligeEmissioner,MATCH(1,(Materialedata[Komponent]=VS_Titel)*(Materialedata[Materiale]=VS_Materiale),0),MATCH(Tidstabel[[#This Row],[År]],Range_Materiale_År,0)),BlankTegn)</f>
        <v>.</v>
      </c>
      <c r="I59" s="142" t="str">
        <f>IFERROR(
IF(SUM(Tidstabel[[#This Row],[Facadebeklædning]:[Vindspærre]])=0,BlankTegn,
SUM(Tidstabel[[#This Row],[Facadebeklædning]:[Vindspærre]])),BlankTegn)</f>
        <v>.</v>
      </c>
      <c r="J59" s="139" t="str">
        <f>IF(Tidstabel[[#This Row],[År]]&gt;Input_Tidshorisont,BlankTegn,
A5_ElVarmeBrændstofByggeplads)</f>
        <v>.</v>
      </c>
      <c r="K59" s="142" t="str">
        <f>IFERROR(IF(Tidstabel[[#This Row],[År]]&gt;Input_Tidshorisont,BlankTegn,
-1*INDEX(Range_Energi_ÅrligBesparelse,MATCH(Input_EksisterendeFacade,Energiberegning[Ydervæg],0),MATCH(Tidstabel[[#This Row],[Årstal]],Range_Energi_Årstal,0))),BlankTegn)</f>
        <v>.</v>
      </c>
      <c r="L59" s="142" t="str">
        <f>IF(Tidstabel[[#This Row],[År]]&gt;Input_Tidshorisont,BlankTegn,
(Tidstabel[[#This Row],[År]]+1)*(SUM(Vedligeholdelsesmaterialer[Facadefarve],Vedligeholdelsesmaterialer[Grunder og mellemmaling])/12+SUM(Vedligeholdelsesmaterialer[Puds])/30))</f>
        <v>.</v>
      </c>
      <c r="M59" s="142" t="str">
        <f>IFERROR(IF(Tidstabel[[#This Row],[År]]&gt;Input_Tidshorisont,BlankTegn,
Tidstabel[[#This Row],[Materialer_Total]]+Tidstabel[[#This Row],[Byggeprocess]]),BlankTegn)</f>
        <v>.</v>
      </c>
      <c r="N59" s="142" t="str">
        <f>IFERROR(IF(Tidstabel[[#This Row],[År]]&gt;Input_Tidshorisont,BlankTegn,
Tidstabel[[#This Row],[Energibesparelse]]+Tidstabel[[#This Row],[Emission_Brutto]]),BlankTegn)</f>
        <v>.</v>
      </c>
      <c r="O59" s="142" t="str">
        <f>IFERROR(IF(Tidstabel[[#This Row],[År]]&gt;Input_Tidshorisont,BlankTegn,
Tidstabel[[#This Row],[Emission_Netto]]-Tidstabel[[#This Row],[Vedligehold_EksisterendeFacade]]),BlankTegn)</f>
        <v>.</v>
      </c>
      <c r="P59" s="271" t="str">
        <f>IFERROR(IF(Tidstabel[[#This Row],[År]]&gt;Input_Tidshorisont,BlankTegn,
IF(AND(Tidstabel[[#This Row],[Emission_Netto]]-Tidstabel[[#This Row],[Vedligehold_EksisterendeFacade]]&gt;0,N60-L60&lt;0),-1,IF(AND(Tidstabel[[#This Row],[Emission_Netto]]-Tidstabel[[#This Row],[Vedligehold_EksisterendeFacade]]&lt;0,N60-L60&gt;0),1,0))),BlankTegn)</f>
        <v>.</v>
      </c>
      <c r="Q59" s="174" t="str">
        <f>IF(Tidstabel[[#This Row],[År]]&gt;Input_Tidshorisont,BlankTegn,
IF(Tidstabel[[#This Row],[LCA-Skæring]]=-1,SUM(Tidstabel[[#This Row],[År]]*(1-ABS(Tidstabel[[#This Row],[LCA-Difference]])/(ABS(Tidstabel[[#This Row],[LCA-Difference]])+ABS(O60))),A60*(1-ABS(O60)/(ABS(Tidstabel[[#This Row],[LCA-Difference]])+ABS(O60)))),"-"))</f>
        <v>.</v>
      </c>
      <c r="R59" s="174" t="str">
        <f>IF(Tidstabel[[#This Row],[År]]&gt;Input_Tidshorisont,BlankTegn,
IF(Tidstabel[[#This Row],[LCA-Skæring]]=-1,SUM(Tidstabel[[#This Row],[Emission_Netto]]*(1-ABS(Tidstabel[[#This Row],[LCA-Difference]])/(ABS(Tidstabel[[#This Row],[LCA-Difference]])+ABS(O60))),N60*(1-ABS(O60)/(ABS(Tidstabel[[#This Row],[LCA-Difference]])+ABS(O60)))),"-"))</f>
        <v>.</v>
      </c>
      <c r="S59" s="174" t="str">
        <f>IF(Tidstabel[[#This Row],[År]]&gt;Input_Tidshorisont,BlankTegn,
IF(Tidstabel[[#This Row],[LCA-Skæring]]=1,SUM(Tidstabel[[#This Row],[År]]*(1-ABS(Tidstabel[[#This Row],[LCA-Difference]])/(ABS(Tidstabel[[#This Row],[LCA-Difference]])+ABS(O60))),A60*(1-ABS(O60)/(ABS(Tidstabel[[#This Row],[LCA-Difference]])+ABS(O60)))),"-"))</f>
        <v>.</v>
      </c>
      <c r="T59" s="264" t="str">
        <f>IF(Tidstabel[[#This Row],[År]]&gt;Input_Tidshorisont,BlankTegn,
IF(Tidstabel[[#This Row],[LCA-Skæring]]=1,SUM(Tidstabel[[#This Row],[Emission_Netto]]*(1-ABS(Tidstabel[[#This Row],[LCA-Difference]])/(ABS(Tidstabel[[#This Row],[LCA-Difference]])+ABS(O60))),N60*(1-ABS(O60)/(ABS(Tidstabel[[#This Row],[LCA-Difference]])+ABS(O60)))),"-"))</f>
        <v>.</v>
      </c>
      <c r="U59" s="142" t="str">
        <f>IFERROR(IF(Tidstabel[[#This Row],[År]]&gt;Input_Tidshorisont,BlankTegn,
Tidstabel[[#This Row],[NPV_Klimafacade]]-Tidstabel[[#This Row],[NPV_Eksisterende]]),BlankTegn)</f>
        <v>.</v>
      </c>
      <c r="V59" s="271" t="str">
        <f>IFERROR(IF(Tidstabel[[#This Row],[År]]&gt;Input_Tidshorisont,BlankTegn,
IF(AND(Tidstabel[[#This Row],[NPV_Klimafacade]]-Tidstabel[[#This Row],[NPV_Eksisterende]]&gt;0,AB60-AA60&lt;0),1,IF(AND(Tidstabel[[#This Row],[NPV_Klimafacade]]-Tidstabel[[#This Row],[NPV_Eksisterende]]&lt;0,AB60-AA60&gt;0),-1,0))),BlankTegn)</f>
        <v>.</v>
      </c>
      <c r="W59" s="174" t="str">
        <f>IF(Tidstabel[[#This Row],[År]]&gt;Input_Tidshorisont,BlankTegn,
IF(Tidstabel[[#This Row],[LCC-Skæring]]=-1,SUM(Tidstabel[[#This Row],[År]]*(1-ABS(Tidstabel[[#This Row],[LCC-Difference]])/(ABS(Tidstabel[[#This Row],[LCC-Difference]])+ABS(U60))),A60*(1-ABS(U60)/(ABS(Tidstabel[[#This Row],[LCC-Difference]])+ABS(U60)))),"-"))</f>
        <v>.</v>
      </c>
      <c r="X59" s="174" t="str">
        <f>IF(Tidstabel[[#This Row],[År]]&gt;Input_Tidshorisont,BlankTegn,
IF(Tidstabel[[#This Row],[LCC-Skæring]]=-1,SUM(Tidstabel[[#This Row],[NPV_Klimafacade]]*(1-ABS(Tidstabel[[#This Row],[LCC-Difference]])/(ABS(Tidstabel[[#This Row],[LCC-Difference]])+ABS(U60))),AB60*(1-ABS(U60)/(ABS(Tidstabel[[#This Row],[LCC-Difference]])+ABS(U60)))),"-"))</f>
        <v>.</v>
      </c>
      <c r="Y59" s="174" t="str">
        <f>IF(Tidstabel[[#This Row],[År]]&gt;Input_Tidshorisont,BlankTegn,
IF(Tidstabel[[#This Row],[LCC-Skæring]]=1,SUM(Tidstabel[[#This Row],[År]]*(1-ABS(Tidstabel[[#This Row],[LCC-Difference]])/(ABS(Tidstabel[[#This Row],[LCC-Difference]])+ABS(U60))),A60*(1-ABS(U60)/(ABS(Tidstabel[[#This Row],[LCC-Difference]])+ABS(U60)))),"-"))</f>
        <v>.</v>
      </c>
      <c r="Z59" s="264" t="str">
        <f>IF(Tidstabel[[#This Row],[År]]&gt;Input_Tidshorisont,BlankTegn,
IF(Tidstabel[[#This Row],[LCC-Skæring]]=1,SUM(Tidstabel[[#This Row],[NPV_Klimafacade]]*(1-ABS(Tidstabel[[#This Row],[LCC-Difference]])/(ABS(Tidstabel[[#This Row],[LCC-Difference]])+ABS(U60))),AB60*(1-ABS(U60)/(ABS(Tidstabel[[#This Row],[LCC-Difference]])+ABS(U60)))),"-"))</f>
        <v>.</v>
      </c>
      <c r="AA59" s="142" t="str">
        <f>IF(Tidstabel[[#This Row],[År]]&gt;Input_Tidshorisont,BlankTegn,
Tidstabel[[#This Row],[EF_Vedligehold_Aggregeret]])</f>
        <v>.</v>
      </c>
      <c r="AB59"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59" s="142" t="str">
        <f>IFERROR(IF(Tidstabel[[#This Row],[År]]&gt;Input_Tidshorisont,BlankTegn,
Tidstabel[[#This Row],[KF_Anskaffelse_Aggregeret]]+Tidstabel[[#This Row],[KF_Engangsudgifter_Aggregeret]]),BlankTegn)</f>
        <v>.</v>
      </c>
      <c r="AD59" s="174" t="str">
        <f>IFERROR(IF(Tidstabel[[#This Row],[År]]&gt;Input_Tidshorisont,BlankTegn,
IF(Tidstabel[[#This Row],[År]]=0,0,Tidstabel[[#This Row],[NPV_Eksisterende]]*(Tidstabel[[#This Row],[Kalkulationsrente]]/(1-(1+Tidstabel[[#This Row],[Kalkulationsrente]])^-Tidstabel[[#This Row],[År]])))),BlankTegn)</f>
        <v>.</v>
      </c>
      <c r="AE59" s="264" t="str">
        <f>IFERROR(IF(Tidstabel[[#This Row],[År]]&gt;Input_Tidshorisont,BlankTegn,
IF(Tidstabel[[#This Row],[År]]=0,0,Tidstabel[[#This Row],[NPV_Klimafacade]]*(Tidstabel[[#This Row],[Kalkulationsrente]]/(1-(1+Tidstabel[[#This Row],[Kalkulationsrente]])^-Tidstabel[[#This Row],[År]])))),BlankTegn)</f>
        <v>.</v>
      </c>
      <c r="AF59" s="270" t="str">
        <f ca="1">IF(Tidstabel[[#This Row],[År]]&gt;Input_Tidshorisont,BlankTegn,
IF(EF_Vedligehold_i=1,IF(Tidstabel[[#This Row],[EF_Uds?]]=0,1,0),IF(MAX(AF58:OFFSET(AG58,2-EF_Vedligehold_i,0),Tidstabel[[#This Row],[EF_Uds?]])=0,1,0)))</f>
        <v>.</v>
      </c>
      <c r="AG59" s="181" t="str">
        <f>IF(Tidstabel[[#This Row],[År]]&gt;Input_Tidshorisont,BlankTegn,0)</f>
        <v>.</v>
      </c>
      <c r="AH59" s="263" t="str">
        <f>IF(Tidstabel[[#This Row],[År]]&gt;Input_Tidshorisont,BlankTegn,
Tidstabel[[#This Row],[EF_Ved?]]*EF_Vedligehold_p*-EF_Enhedspris*((1+Tidstabel[[#This Row],[Kalkulationsrente]])^-Tidstabel[[#This Row],[År]])*((1+PrisudviklingGenerelt)^Tidstabel[[#This Row],[År]]))</f>
        <v>.</v>
      </c>
      <c r="AI59" s="262" t="str">
        <f>IF(Tidstabel[[#This Row],[År]]&gt;Input_Tidshorisont,BlankTegn,
IF(Tidstabel[[#This Row],[År]]=0,Tidstabel[[#This Row],[EF_Vedligehold]],AI58+Tidstabel[[#This Row],[EF_Vedligehold]]))</f>
        <v>.</v>
      </c>
      <c r="AJ59" s="245" t="str">
        <f>IFERROR(IF(Tidstabel[[#This Row],[År]]&gt;Input_Tidshorisont,BlankTegn,
Tidstabel[[#This Row],[FB_Anskaffelse]]+Tidstabel[[#This Row],[VS_Anskaffelse]]+Tidstabel[[#This Row],[EI_Anskaffelse]]+Tidstabel[[#This Row],[AP_Anskaffelse]]+Tidstabel[[#This Row],[SK_Anskaffelse]]),BlankTegn)</f>
        <v>.</v>
      </c>
      <c r="AK59" s="245" t="str">
        <f>IFERROR(IF(Tidstabel[[#This Row],[År]]&gt;Input_Tidshorisont,BlankTegn,
IF(Tidstabel[[#This Row],[År]]=0,Tidstabel[[#This Row],[KF_Anskaffelse]],AK58+Tidstabel[[#This Row],[KF_Anskaffelse]])),BlankTegn)</f>
        <v>.</v>
      </c>
      <c r="AL59" s="246" t="str">
        <f>IFERROR(IF(Tidstabel[[#This Row],[År]]&gt;Input_Tidshorisont,BlankTegn,
Tidstabel[[#This Row],[FB_Vedligehold]]+Tidstabel[[#This Row],[VS_Vedligehold]]+Tidstabel[[#This Row],[EI_Vedligehold]]+Tidstabel[[#This Row],[AP_Vedligehold]]+Tidstabel[[#This Row],[SK_Vedligehold]]),BlankTegn)</f>
        <v>.</v>
      </c>
      <c r="AM59" s="245" t="str">
        <f>IFERROR(IF(Tidstabel[[#This Row],[År]]&gt;Input_Tidshorisont,BlankTegn,
IF(Tidstabel[[#This Row],[År]]=0,Tidstabel[[#This Row],[KF_Vedligehold]],AM58+Tidstabel[[#This Row],[KF_Vedligehold]])),BlankTegn)</f>
        <v>.</v>
      </c>
      <c r="AN59"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59"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59" s="245" t="str">
        <f>IFERROR(IF(Tidstabel[[#This Row],[År]]&gt;Input_Tidshorisont,BlankTegn,
IF(Tidstabel[[#This Row],[År]]=0,Tidstabel[[#This Row],[KF_Udskiftning_Komponent]],AP58+Tidstabel[[#This Row],[KF_Udskiftning_Komponent]])),BlankTegn)</f>
        <v>.</v>
      </c>
      <c r="AQ59" s="245" t="str">
        <f>IF(Tidstabel[[#This Row],[År]]&gt;Input_Tidshorisont,BlankTegn,
IF(Tidstabel[[#This Row],[År]]=0,-SUM(Engangsudgifter[Udgift]),0))</f>
        <v>.</v>
      </c>
      <c r="AR59" s="245" t="str">
        <f>IFERROR(IF(Tidstabel[[#This Row],[År]]&gt;Input_Tidshorisont,BlankTegn,
IF(Tidstabel[[#This Row],[År]]=0,Tidstabel[[#This Row],[KF_Engangsudgifter]],AR58+Tidstabel[[#This Row],[KF_Engangsudgifter]])),BlankTegn)</f>
        <v>.</v>
      </c>
      <c r="AS59" s="315" t="str">
        <f>IFERROR(IF(Tidstabel[[#This Row],[År]]&gt;Input_Tidshorisont,BlankTegn,
-Energibesparelse_Årlig),BlankTegn)</f>
        <v>.</v>
      </c>
      <c r="AT59" s="245" t="str">
        <f>IFERROR(IF(Tidstabel[[#This Row],[År]]&gt;Input_Tidshorisont,BlankTegn,
IF(Tidstabel[[#This Row],[År]]=0,0,-Tidstabel[[#This Row],[KF_Energiforbrug]]*Input_Fjernvarmepris*((1+Tidstabel[[#This Row],[Kalkulationsrente]])^-Tidstabel[[#This Row],[År]])*((1+PrisudviklingFjernvarme)^Tidstabel[[#This Row],[År]]))),BlankTegn)</f>
        <v>.</v>
      </c>
      <c r="AU59" s="262" t="str">
        <f>IFERROR(IF(Tidstabel[[#This Row],[År]]&gt;Input_Tidshorisont,BlankTegn,
IF(Tidstabel[[#This Row],[År]]=0,Tidstabel[[#This Row],[KF_Forsyning]],AU58+Tidstabel[[#This Row],[KF_Forsyning]])),BlankTegn)</f>
        <v>.</v>
      </c>
      <c r="AV59" s="245" t="str">
        <f>IFERROR(IF(Tidstabel[[#This Row],[År]]&gt;Input_Tidshorisont,BlankTegn,
IF(Tidstabel[[#This Row],[År]]=0,-FB_Enhedspris,0)),BlankTegn)</f>
        <v>.</v>
      </c>
      <c r="AW59" s="245" t="str">
        <f>IFERROR(IF(Tidstabel[[#This Row],[År]]&gt;Input_Tidshorisont,BlankTegn,
IF(Tidstabel[[#This Row],[År]]=0,FB_Enhedspris/FB_Levetid,AW58*((1+Tidstabel[[#This Row],[Kalkulationsrente]])^-1)*((1+PrisudviklingGenerelt)^1))),BlankTegn)</f>
        <v>.</v>
      </c>
      <c r="AX59" s="178" t="str">
        <f ca="1">IFERROR(IF(Tidstabel[[#This Row],[År]]&gt;Input_Tidshorisont,BlankTegn,
IF(FB_Vedligehold_i=1,IF(Tidstabel[[#This Row],[FB_Uds?]]=0,1,0),IF(MAX(AX58:OFFSET(AY58,2-FB_Vedligehold_i,0),Tidstabel[[#This Row],[FB_Uds?]])=0,1,0))),BlankTegn)</f>
        <v>.</v>
      </c>
      <c r="AY59" s="178" t="str">
        <f>IFERROR(IF(Tidstabel[[#This Row],[År]]&gt;Input_Tidshorisont,BlankTegn,
IF(Tidstabel[[#This Row],[År]]=0,1,IF(MOD(Tidstabel[[#This Row],[År]],FB_Levetid)=0,1,IF(Tidstabel[[#This Row],[År]]=Input_Tidshorisont,0,0)))),BlankTegn)</f>
        <v>.</v>
      </c>
      <c r="AZ59" s="245" t="str">
        <f>IFERROR(IF(Tidstabel[[#This Row],[År]]&gt;Input_Tidshorisont,BlankTegn,
FB_Vedligehold_p*-FB_Enhedspris*Tidstabel[[#This Row],[FB_Ved?]]*((1+Tidstabel[[#This Row],[Kalkulationsrente]])^-Tidstabel[[#This Row],[År]])*((1+PrisudviklingGenerelt)^Tidstabel[[#This Row],[År]])),BlankTegn)</f>
        <v>.</v>
      </c>
      <c r="BA59" s="245" t="str">
        <f>IFERROR(IF(Tidstabel[[#This Row],[År]]&gt;Input_Tidshorisont,BlankTegn,
IF(Tidstabel[[#This Row],[År]]=0,FB_Enhedspris,SUM(BA58:BB58)*((1+Tidstabel[[#This Row],[Kalkulationsrente]])^-1)*((1+PrisudviklingGenerelt)^1)-Tidstabel[[#This Row],[FB_Afskrivning]])),BlankTegn)</f>
        <v>.</v>
      </c>
      <c r="BB59" s="245" t="str">
        <f>IFERROR(IF(Tidstabel[[#This Row],[År]]&gt;Input_Tidshorisont,BlankTegn,
IF(Tidstabel[[#This Row],[År]]=0,0,Tidstabel[[#This Row],[FB_Uds?]]*FB_Enhedspris*((1+Tidstabel[[#This Row],[Kalkulationsrente]])^-Tidstabel[[#This Row],[År]])*((1+PrisudviklingGenerelt)^Tidstabel[[#This Row],[År]]))),BlankTegn)</f>
        <v>.</v>
      </c>
      <c r="BC59" s="262" t="str">
        <f>IFERROR(IF(Tidstabel[[#This Row],[År]]&gt;Input_Tidshorisont,BlankTegn,
IF(Tidstabel[[#This Row],[År]]=0,0,Tidstabel[[#This Row],[FB_Uds?]]*-FB_Enhedspris*FB_Genoprettelse*((1+Tidstabel[[#This Row],[Kalkulationsrente]])^-Tidstabel[[#This Row],[År]])*((1+PrisudviklingGenerelt)^Tidstabel[[#This Row],[År]]))),BlankTegn)</f>
        <v>.</v>
      </c>
      <c r="BD59" s="245" t="str">
        <f>IFERROR(IF(Tidstabel[[#This Row],[År]]&gt;Input_Tidshorisont,BlankTegn,
IF(Tidstabel[[#This Row],[År]]=0,-VS_Enhedspris,0)),BlankTegn)</f>
        <v>.</v>
      </c>
      <c r="BE59" s="245" t="str">
        <f>IFERROR(IF(Tidstabel[[#This Row],[År]]&gt;Input_Tidshorisont,BlankTegn,
IF(Tidstabel[[#This Row],[År]]=0,VS_Enhedspris/VS_Levetid,BE58*((1+Tidstabel[[#This Row],[Kalkulationsrente]])^-1)*((1+PrisudviklingGenerelt)^1))),BlankTegn)</f>
        <v>.</v>
      </c>
      <c r="BF59" s="178" t="str">
        <f ca="1">IFERROR(IF(Tidstabel[[#This Row],[År]]&gt;Input_Tidshorisont,BlankTegn,
IF(VS_Vedligehold_i=1,IF(Tidstabel[[#This Row],[VS_Uds?]]=0,1,0),IF(MAX(BF58:OFFSET(BG58,2-VS_Vedligehold_i,0),Tidstabel[[#This Row],[VS_Uds?]])=0,1,0))),BlankTegn)</f>
        <v>.</v>
      </c>
      <c r="BG59" s="178" t="str">
        <f>IFERROR(IF(Tidstabel[[#This Row],[År]]&gt;Input_Tidshorisont,BlankTegn,
IF(Tidstabel[[#This Row],[År]]=0,1,IF(MOD(Tidstabel[[#This Row],[År]],VS_Levetid)=0,1,IF(Tidstabel[[#This Row],[År]]=Input_Tidshorisont,0,0)))),BlankTegn)</f>
        <v>.</v>
      </c>
      <c r="BH59" s="245" t="str">
        <f>IFERROR(IF(Tidstabel[[#This Row],[År]]&gt;Input_Tidshorisont,BlankTegn,
VS_Vedligehold_p*-VS_Enhedspris*Tidstabel[[#This Row],[VS_Ved?]]*((1+Tidstabel[[#This Row],[Kalkulationsrente]])^-Tidstabel[[#This Row],[År]])*((1+PrisudviklingGenerelt)^Tidstabel[[#This Row],[År]])),BlankTegn)</f>
        <v>.</v>
      </c>
      <c r="BI59" s="245" t="str">
        <f>IFERROR(IF(Tidstabel[[#This Row],[År]]&gt;Input_Tidshorisont,BlankTegn,
IF(Tidstabel[[#This Row],[År]]=0,VS_Enhedspris,SUM(BI58:BJ58)*((1+Tidstabel[[#This Row],[Kalkulationsrente]])^-1)*((1+PrisudviklingGenerelt)^1)-Tidstabel[[#This Row],[VS_Afskrivning]])),BlankTegn)</f>
        <v>.</v>
      </c>
      <c r="BJ59" s="245" t="str">
        <f>IFERROR(IF(Tidstabel[[#This Row],[År]]&gt;Input_Tidshorisont,BlankTegn,
IF(Tidstabel[[#This Row],[År]]=0,0,Tidstabel[[#This Row],[VS_Uds?]]*VS_Enhedspris*((1+Tidstabel[[#This Row],[Kalkulationsrente]])^-Tidstabel[[#This Row],[År]])*((1+PrisudviklingGenerelt)^Tidstabel[[#This Row],[År]]))),BlankTegn)</f>
        <v>.</v>
      </c>
      <c r="BK59" s="262" t="str">
        <f>IFERROR(IF(Tidstabel[[#This Row],[År]]&gt;Input_Tidshorisont,BlankTegn,
IF(Tidstabel[[#This Row],[År]]=0,0,Tidstabel[[#This Row],[VS_Uds?]]*-VS_Enhedspris*VS_Genoprettelse*((1+Tidstabel[[#This Row],[Kalkulationsrente]])^-Tidstabel[[#This Row],[År]])*((1+PrisudviklingGenerelt)^Tidstabel[[#This Row],[År]]))),BlankTegn)</f>
        <v>.</v>
      </c>
      <c r="BL59" s="245" t="str">
        <f>IFERROR(IF(Tidstabel[[#This Row],[År]]&gt;Input_Tidshorisont,BlankTegn,
IF(Tidstabel[[#This Row],[År]]=0,-EI_Enhedspris,0)),BlankTegn)</f>
        <v>.</v>
      </c>
      <c r="BM59" s="245" t="str">
        <f>IFERROR(IF(Tidstabel[[#This Row],[År]]&gt;Input_Tidshorisont,BlankTegn,
IF(Tidstabel[[#This Row],[År]]=0,EI_Enhedspris/EI_Levetid,BM58*((1+Tidstabel[[#This Row],[Kalkulationsrente]])^-1)*((1+PrisudviklingGenerelt)^1))),BlankTegn)</f>
        <v>.</v>
      </c>
      <c r="BN59" s="178" t="str">
        <f ca="1">IFERROR(IF(Tidstabel[[#This Row],[År]]&gt;Input_Tidshorisont,BlankTegn,
IF(EI_Vedligehold_i=1,IF(Tidstabel[[#This Row],[EI_Uds?]]=0,1,0),IF(MAX(BN58:OFFSET(BO58,2-EI_Vedligehold_i,0),Tidstabel[[#This Row],[EI_Uds?]])=0,1,0))),BlankTegn)</f>
        <v>.</v>
      </c>
      <c r="BO59" s="178" t="str">
        <f>IFERROR(IF(Tidstabel[[#This Row],[År]]&gt;Input_Tidshorisont,BlankTegn,
IF(Tidstabel[[#This Row],[År]]=0,1,IF(MOD(Tidstabel[[#This Row],[År]],EI_Levetid)=0,1,IF(Tidstabel[[#This Row],[År]]=Input_Tidshorisont,0,0)))),BlankTegn)</f>
        <v>.</v>
      </c>
      <c r="BP59" s="245" t="str">
        <f>IFERROR(IF(Tidstabel[[#This Row],[År]]&gt;Input_Tidshorisont,BlankTegn,
EI_Vedligehold_p*-EI_Enhedspris*Tidstabel[[#This Row],[EI_Ved?]]*((1+Tidstabel[[#This Row],[Kalkulationsrente]])^-Tidstabel[[#This Row],[År]])*((1+PrisudviklingGenerelt)^Tidstabel[[#This Row],[År]])),BlankTegn)</f>
        <v>.</v>
      </c>
      <c r="BQ59" s="245" t="str">
        <f>IFERROR(IF(Tidstabel[[#This Row],[År]]&gt;Input_Tidshorisont,BlankTegn,
IF(Tidstabel[[#This Row],[År]]=0,EI_Enhedspris,SUM(BQ58:BR58)*((1+Tidstabel[[#This Row],[Kalkulationsrente]])^-1)*((1+PrisudviklingGenerelt)^1)-Tidstabel[[#This Row],[EI_Afskrivning]])),BlankTegn)</f>
        <v>.</v>
      </c>
      <c r="BR59" s="245" t="str">
        <f>IFERROR(IF(Tidstabel[[#This Row],[År]]&gt;Input_Tidshorisont,BlankTegn,
IF(Tidstabel[[#This Row],[År]]=0,0,Tidstabel[[#This Row],[EI_Uds?]]*EI_Enhedspris*((1+Tidstabel[[#This Row],[Kalkulationsrente]])^-Tidstabel[[#This Row],[År]])*((1+PrisudviklingGenerelt)^Tidstabel[[#This Row],[År]]))),BlankTegn)</f>
        <v>.</v>
      </c>
      <c r="BS59" s="262" t="str">
        <f>IFERROR(IF(Tidstabel[[#This Row],[År]]&gt;Input_Tidshorisont,BlankTegn,
IF(Tidstabel[[#This Row],[År]]=0,0,Tidstabel[[#This Row],[EI_Uds?]]*-EI_Enhedspris*EI_Genoprettelse*((1+Tidstabel[[#This Row],[Kalkulationsrente]])^-Tidstabel[[#This Row],[År]])*((1+PrisudviklingGenerelt)^Tidstabel[[#This Row],[År]]))),BlankTegn)</f>
        <v>.</v>
      </c>
      <c r="BT59" s="245" t="str">
        <f>IFERROR(IF(Tidstabel[[#This Row],[År]]&gt;Input_Tidshorisont,BlankTegn,
IF(Tidstabel[[#This Row],[År]]=0,-AP_Enhedspris,0)),BlankTegn)</f>
        <v>.</v>
      </c>
      <c r="BU59" s="245" t="str">
        <f>IFERROR(IF(Tidstabel[[#This Row],[År]]&gt;Input_Tidshorisont,BlankTegn,
IF(Tidstabel[[#This Row],[År]]=0,AP_Enhedspris/AP_Levetid,BU58*((1+Tidstabel[[#This Row],[Kalkulationsrente]])^-1)*((1+PrisudviklingGenerelt)^1))),BlankTegn)</f>
        <v>.</v>
      </c>
      <c r="BV59" s="178" t="str">
        <f ca="1">IFERROR(IF(Tidstabel[[#This Row],[År]]&gt;Input_Tidshorisont,BlankTegn,
IF(AP_Vedligehold_i=1,IF(Tidstabel[[#This Row],[AP_Uds?]]=0,1,0),IF(MAX(BV58:OFFSET(BW58,2-AP_Vedligehold_i,0),Tidstabel[[#This Row],[AP_Uds?]])=0,1,0))),BlankTegn)</f>
        <v>.</v>
      </c>
      <c r="BW59" s="178" t="str">
        <f>IFERROR(IF(Tidstabel[[#This Row],[År]]&gt;Input_Tidshorisont,BlankTegn,
IF(Tidstabel[[#This Row],[År]]=0,1,IF(MOD(Tidstabel[[#This Row],[År]],AP_Levetid)=0,1,IF(Tidstabel[[#This Row],[År]]=Input_Tidshorisont,0,0)))),BlankTegn)</f>
        <v>.</v>
      </c>
      <c r="BX59" s="245" t="str">
        <f>IFERROR(IF(Tidstabel[[#This Row],[År]]&gt;Input_Tidshorisont,BlankTegn,
AP_Vedligehold_p*-AP_Enhedspris*Tidstabel[[#This Row],[AP_Ved?]]*((1+Tidstabel[[#This Row],[Kalkulationsrente]])^-Tidstabel[[#This Row],[År]])*((1+PrisudviklingGenerelt)^Tidstabel[[#This Row],[År]])),BlankTegn)</f>
        <v>.</v>
      </c>
      <c r="BY59" s="245" t="str">
        <f>IFERROR(IF(Tidstabel[[#This Row],[År]]&gt;Input_Tidshorisont,BlankTegn,
IF(Tidstabel[[#This Row],[År]]=0,AP_Enhedspris,SUM(BY58:BZ58)*((1+Tidstabel[[#This Row],[Kalkulationsrente]])^-1)*((1+PrisudviklingGenerelt)^1)-Tidstabel[[#This Row],[AP_Afskrivning]])),BlankTegn)</f>
        <v>.</v>
      </c>
      <c r="BZ59" s="245" t="str">
        <f>IFERROR(IF(Tidstabel[[#This Row],[År]]&gt;Input_Tidshorisont,BlankTegn,
IF(Tidstabel[[#This Row],[År]]=0,0,Tidstabel[[#This Row],[AP_Uds?]]*AP_Enhedspris*((1+Tidstabel[[#This Row],[Kalkulationsrente]])^-Tidstabel[[#This Row],[År]])*((1+PrisudviklingGenerelt)^Tidstabel[[#This Row],[År]]))),BlankTegn)</f>
        <v>.</v>
      </c>
      <c r="CA59" s="262" t="str">
        <f>IFERROR(IF(Tidstabel[[#This Row],[År]]&gt;Input_Tidshorisont,BlankTegn,
IF(Tidstabel[[#This Row],[År]]=0,0,Tidstabel[[#This Row],[AP_Uds?]]*-AP_Enhedspris*AP_Genoprettelse*((1+Tidstabel[[#This Row],[Kalkulationsrente]])^-Tidstabel[[#This Row],[År]])*((1+PrisudviklingGenerelt)^Tidstabel[[#This Row],[År]]))),BlankTegn)</f>
        <v>.</v>
      </c>
      <c r="CB59" s="245" t="str">
        <f>IFERROR(IF(Tidstabel[[#This Row],[År]]&gt;Input_Tidshorisont,BlankTegn,
IF(Tidstabel[[#This Row],[År]]=0,-SK_Enhedspris,0)),BlankTegn)</f>
        <v>.</v>
      </c>
      <c r="CC59" s="245" t="str">
        <f>IFERROR(IF(Tidstabel[[#This Row],[År]]&gt;Input_Tidshorisont,BlankTegn,
IF(Tidstabel[[#This Row],[År]]=0,SK_Enhedspris/SK_Levetid,CC58*((1+Tidstabel[[#This Row],[Kalkulationsrente]])^-1)*((1+PrisudviklingGenerelt)^1))),BlankTegn)</f>
        <v>.</v>
      </c>
      <c r="CD59" s="178" t="str">
        <f ca="1">IFERROR(IF(Tidstabel[[#This Row],[År]]&gt;Input_Tidshorisont,BlankTegn,
IF(SK_Vedligehold_i=1,IF(Tidstabel[[#This Row],[SK_Uds?]]=0,1,0),IF(MAX(CD58:OFFSET(CE58,2-SK_Vedligehold_i,0),Tidstabel[[#This Row],[SK_Uds?]])=0,1,0))),BlankTegn)</f>
        <v>.</v>
      </c>
      <c r="CE59" s="178" t="str">
        <f>IFERROR(IF(Tidstabel[[#This Row],[År]]&gt;Input_Tidshorisont,BlankTegn,
IF(Tidstabel[[#This Row],[År]]=0,1,IF(MOD(Tidstabel[[#This Row],[År]],SK_Levetid)=0,1,IF(Tidstabel[[#This Row],[År]]=Input_Tidshorisont,0,0)))),BlankTegn)</f>
        <v>.</v>
      </c>
      <c r="CF59" s="245" t="str">
        <f>IFERROR(IF(Tidstabel[[#This Row],[År]]&gt;Input_Tidshorisont,BlankTegn,
SK_Vedligehold_p*-SK_Enhedspris*Tidstabel[[#This Row],[SK_Ved?]]*((1+Tidstabel[[#This Row],[Kalkulationsrente]])^-Tidstabel[[#This Row],[År]])*((1+PrisudviklingGenerelt)^Tidstabel[[#This Row],[År]])),BlankTegn)</f>
        <v>.</v>
      </c>
      <c r="CG59" s="245" t="str">
        <f>IFERROR(IF(Tidstabel[[#This Row],[År]]&gt;Input_Tidshorisont,BlankTegn,
IF(Tidstabel[[#This Row],[År]]=0,SK_Enhedspris,SUM(CG58:CH58)*((1+Tidstabel[[#This Row],[Kalkulationsrente]])^-1)*((1+PrisudviklingGenerelt)^1)-Tidstabel[[#This Row],[SK_Afskrivning]])),BlankTegn)</f>
        <v>.</v>
      </c>
      <c r="CH59" s="245" t="str">
        <f>IFERROR(IF(Tidstabel[[#This Row],[År]]&gt;Input_Tidshorisont,BlankTegn,
IF(Tidstabel[[#This Row],[År]]=0,0,Tidstabel[[#This Row],[SK_Uds?]]*SK_Enhedspris*((1+Tidstabel[[#This Row],[Kalkulationsrente]])^-Tidstabel[[#This Row],[År]])*((1+PrisudviklingGenerelt)^Tidstabel[[#This Row],[År]]))),BlankTegn)</f>
        <v>.</v>
      </c>
      <c r="CI59" s="262" t="str">
        <f>IFERROR(IF(Tidstabel[[#This Row],[År]]&gt;Input_Tidshorisont,BlankTegn,
IF(Tidstabel[[#This Row],[År]]=0,0,Tidstabel[[#This Row],[SK_Uds?]]*-SK_Enhedspris*SK_Genoprettelse*((1+Tidstabel[[#This Row],[Kalkulationsrente]])^-Tidstabel[[#This Row],[År]])*((1+PrisudviklingGenerelt)^Tidstabel[[#This Row],[År]]))),BlankTegn)</f>
        <v>.</v>
      </c>
      <c r="CJ59" s="19"/>
    </row>
    <row r="60" spans="1:88">
      <c r="A60" s="250">
        <v>53</v>
      </c>
      <c r="B60" s="250">
        <f>Input_Etableringsår+Tidstabel[[#This Row],[År]]</f>
        <v>2077</v>
      </c>
      <c r="C60" s="274" cm="1">
        <f t="array" ref="C60">_xlfn.IFS(Tidstabel[[#This Row],[År]]&gt;KR_Trin3_Tærskel,KR_Trin3_Rente,Tidstabel[[#This Row],[År]]&gt;KR_Trin2_Tærskel,KR_Trin2_Rente,Tidstabel[[#This Row],[År]]&gt;KR_Trin1_Tærskel,KR_Trin1_Rente,Tidstabel[[#This Row],[År]]&gt;KR_Trin0_Tærskel,KR_Trin0_Rente)</f>
        <v>2.5000000000000001E-2</v>
      </c>
      <c r="D60" s="142" t="str" cm="1">
        <f t="array" ref="D60">IFERROR(
INDEX(Range_Materiale_ÅrligeEmissioner,MATCH(1,(Materialedata[Komponent]=FB_Titel)*(Materialedata[Materiale]=FB_Materiale),0),MATCH(Tidstabel[[#This Row],[År]],Range_Materiale_År,0)),BlankTegn)</f>
        <v>.</v>
      </c>
      <c r="E60" s="142" t="str" cm="1">
        <f t="array" ref="E60">IFERROR(
INDEX(Range_Materiale_ÅrligeEmissioner,MATCH(1,(Materialedata[Komponent]=SK_Titel)*(Materialedata[Materiale]=SK_Materiale),0),MATCH(Tidstabel[[#This Row],[År]],Range_Materiale_År,0)),BlankTegn)</f>
        <v>.</v>
      </c>
      <c r="F60" s="142" t="str" cm="1">
        <f t="array" ref="F60">IFERROR(
INDEX(Range_Materiale_ÅrligeEmissioner,MATCH(1,(Materialedata[Komponent]=EI_Titel)*(Materialedata[Materiale]=EI_Materiale),0),MATCH(Tidstabel[[#This Row],[År]],Range_Materiale_År,0)),BlankTegn)</f>
        <v>.</v>
      </c>
      <c r="G60" s="142" t="str" cm="1">
        <f t="array" ref="G60">IFERROR(
INDEX(Range_Materiale_ÅrligeEmissioner,MATCH(1,(Materialedata[Komponent]=AP_Titel)*(Materialedata[Materiale]=AP_Materiale),0),MATCH(Tidstabel[[#This Row],[År]],Range_Materiale_År,0)),BlankTegn)</f>
        <v>.</v>
      </c>
      <c r="H60" s="142" t="str" cm="1">
        <f t="array" ref="H60">IFERROR(
INDEX(Range_Materiale_ÅrligeEmissioner,MATCH(1,(Materialedata[Komponent]=VS_Titel)*(Materialedata[Materiale]=VS_Materiale),0),MATCH(Tidstabel[[#This Row],[År]],Range_Materiale_År,0)),BlankTegn)</f>
        <v>.</v>
      </c>
      <c r="I60" s="142" t="str">
        <f>IFERROR(
IF(SUM(Tidstabel[[#This Row],[Facadebeklædning]:[Vindspærre]])=0,BlankTegn,
SUM(Tidstabel[[#This Row],[Facadebeklædning]:[Vindspærre]])),BlankTegn)</f>
        <v>.</v>
      </c>
      <c r="J60" s="139" t="str">
        <f>IF(Tidstabel[[#This Row],[År]]&gt;Input_Tidshorisont,BlankTegn,
A5_ElVarmeBrændstofByggeplads)</f>
        <v>.</v>
      </c>
      <c r="K60" s="142" t="str">
        <f>IFERROR(IF(Tidstabel[[#This Row],[År]]&gt;Input_Tidshorisont,BlankTegn,
-1*INDEX(Range_Energi_ÅrligBesparelse,MATCH(Input_EksisterendeFacade,Energiberegning[Ydervæg],0),MATCH(Tidstabel[[#This Row],[Årstal]],Range_Energi_Årstal,0))),BlankTegn)</f>
        <v>.</v>
      </c>
      <c r="L60" s="142" t="str">
        <f>IF(Tidstabel[[#This Row],[År]]&gt;Input_Tidshorisont,BlankTegn,
(Tidstabel[[#This Row],[År]]+1)*(SUM(Vedligeholdelsesmaterialer[Facadefarve],Vedligeholdelsesmaterialer[Grunder og mellemmaling])/12+SUM(Vedligeholdelsesmaterialer[Puds])/30))</f>
        <v>.</v>
      </c>
      <c r="M60" s="142" t="str">
        <f>IFERROR(IF(Tidstabel[[#This Row],[År]]&gt;Input_Tidshorisont,BlankTegn,
Tidstabel[[#This Row],[Materialer_Total]]+Tidstabel[[#This Row],[Byggeprocess]]),BlankTegn)</f>
        <v>.</v>
      </c>
      <c r="N60" s="142" t="str">
        <f>IFERROR(IF(Tidstabel[[#This Row],[År]]&gt;Input_Tidshorisont,BlankTegn,
Tidstabel[[#This Row],[Energibesparelse]]+Tidstabel[[#This Row],[Emission_Brutto]]),BlankTegn)</f>
        <v>.</v>
      </c>
      <c r="O60" s="142" t="str">
        <f>IFERROR(IF(Tidstabel[[#This Row],[År]]&gt;Input_Tidshorisont,BlankTegn,
Tidstabel[[#This Row],[Emission_Netto]]-Tidstabel[[#This Row],[Vedligehold_EksisterendeFacade]]),BlankTegn)</f>
        <v>.</v>
      </c>
      <c r="P60" s="271" t="str">
        <f>IFERROR(IF(Tidstabel[[#This Row],[År]]&gt;Input_Tidshorisont,BlankTegn,
IF(AND(Tidstabel[[#This Row],[Emission_Netto]]-Tidstabel[[#This Row],[Vedligehold_EksisterendeFacade]]&gt;0,N61-L61&lt;0),-1,IF(AND(Tidstabel[[#This Row],[Emission_Netto]]-Tidstabel[[#This Row],[Vedligehold_EksisterendeFacade]]&lt;0,N61-L61&gt;0),1,0))),BlankTegn)</f>
        <v>.</v>
      </c>
      <c r="Q60" s="174" t="str">
        <f>IF(Tidstabel[[#This Row],[År]]&gt;Input_Tidshorisont,BlankTegn,
IF(Tidstabel[[#This Row],[LCA-Skæring]]=-1,SUM(Tidstabel[[#This Row],[År]]*(1-ABS(Tidstabel[[#This Row],[LCA-Difference]])/(ABS(Tidstabel[[#This Row],[LCA-Difference]])+ABS(O61))),A61*(1-ABS(O61)/(ABS(Tidstabel[[#This Row],[LCA-Difference]])+ABS(O61)))),"-"))</f>
        <v>.</v>
      </c>
      <c r="R60" s="174" t="str">
        <f>IF(Tidstabel[[#This Row],[År]]&gt;Input_Tidshorisont,BlankTegn,
IF(Tidstabel[[#This Row],[LCA-Skæring]]=-1,SUM(Tidstabel[[#This Row],[Emission_Netto]]*(1-ABS(Tidstabel[[#This Row],[LCA-Difference]])/(ABS(Tidstabel[[#This Row],[LCA-Difference]])+ABS(O61))),N61*(1-ABS(O61)/(ABS(Tidstabel[[#This Row],[LCA-Difference]])+ABS(O61)))),"-"))</f>
        <v>.</v>
      </c>
      <c r="S60" s="174" t="str">
        <f>IF(Tidstabel[[#This Row],[År]]&gt;Input_Tidshorisont,BlankTegn,
IF(Tidstabel[[#This Row],[LCA-Skæring]]=1,SUM(Tidstabel[[#This Row],[År]]*(1-ABS(Tidstabel[[#This Row],[LCA-Difference]])/(ABS(Tidstabel[[#This Row],[LCA-Difference]])+ABS(O61))),A61*(1-ABS(O61)/(ABS(Tidstabel[[#This Row],[LCA-Difference]])+ABS(O61)))),"-"))</f>
        <v>.</v>
      </c>
      <c r="T60" s="264" t="str">
        <f>IF(Tidstabel[[#This Row],[År]]&gt;Input_Tidshorisont,BlankTegn,
IF(Tidstabel[[#This Row],[LCA-Skæring]]=1,SUM(Tidstabel[[#This Row],[Emission_Netto]]*(1-ABS(Tidstabel[[#This Row],[LCA-Difference]])/(ABS(Tidstabel[[#This Row],[LCA-Difference]])+ABS(O61))),N61*(1-ABS(O61)/(ABS(Tidstabel[[#This Row],[LCA-Difference]])+ABS(O61)))),"-"))</f>
        <v>.</v>
      </c>
      <c r="U60" s="142" t="str">
        <f>IFERROR(IF(Tidstabel[[#This Row],[År]]&gt;Input_Tidshorisont,BlankTegn,
Tidstabel[[#This Row],[NPV_Klimafacade]]-Tidstabel[[#This Row],[NPV_Eksisterende]]),BlankTegn)</f>
        <v>.</v>
      </c>
      <c r="V60" s="271" t="str">
        <f>IFERROR(IF(Tidstabel[[#This Row],[År]]&gt;Input_Tidshorisont,BlankTegn,
IF(AND(Tidstabel[[#This Row],[NPV_Klimafacade]]-Tidstabel[[#This Row],[NPV_Eksisterende]]&gt;0,AB61-AA61&lt;0),1,IF(AND(Tidstabel[[#This Row],[NPV_Klimafacade]]-Tidstabel[[#This Row],[NPV_Eksisterende]]&lt;0,AB61-AA61&gt;0),-1,0))),BlankTegn)</f>
        <v>.</v>
      </c>
      <c r="W60" s="174" t="str">
        <f>IF(Tidstabel[[#This Row],[År]]&gt;Input_Tidshorisont,BlankTegn,
IF(Tidstabel[[#This Row],[LCC-Skæring]]=-1,SUM(Tidstabel[[#This Row],[År]]*(1-ABS(Tidstabel[[#This Row],[LCC-Difference]])/(ABS(Tidstabel[[#This Row],[LCC-Difference]])+ABS(U61))),A61*(1-ABS(U61)/(ABS(Tidstabel[[#This Row],[LCC-Difference]])+ABS(U61)))),"-"))</f>
        <v>.</v>
      </c>
      <c r="X60" s="174" t="str">
        <f>IF(Tidstabel[[#This Row],[År]]&gt;Input_Tidshorisont,BlankTegn,
IF(Tidstabel[[#This Row],[LCC-Skæring]]=-1,SUM(Tidstabel[[#This Row],[NPV_Klimafacade]]*(1-ABS(Tidstabel[[#This Row],[LCC-Difference]])/(ABS(Tidstabel[[#This Row],[LCC-Difference]])+ABS(U61))),AB61*(1-ABS(U61)/(ABS(Tidstabel[[#This Row],[LCC-Difference]])+ABS(U61)))),"-"))</f>
        <v>.</v>
      </c>
      <c r="Y60" s="174" t="str">
        <f>IF(Tidstabel[[#This Row],[År]]&gt;Input_Tidshorisont,BlankTegn,
IF(Tidstabel[[#This Row],[LCC-Skæring]]=1,SUM(Tidstabel[[#This Row],[År]]*(1-ABS(Tidstabel[[#This Row],[LCC-Difference]])/(ABS(Tidstabel[[#This Row],[LCC-Difference]])+ABS(U61))),A61*(1-ABS(U61)/(ABS(Tidstabel[[#This Row],[LCC-Difference]])+ABS(U61)))),"-"))</f>
        <v>.</v>
      </c>
      <c r="Z60" s="264" t="str">
        <f>IF(Tidstabel[[#This Row],[År]]&gt;Input_Tidshorisont,BlankTegn,
IF(Tidstabel[[#This Row],[LCC-Skæring]]=1,SUM(Tidstabel[[#This Row],[NPV_Klimafacade]]*(1-ABS(Tidstabel[[#This Row],[LCC-Difference]])/(ABS(Tidstabel[[#This Row],[LCC-Difference]])+ABS(U61))),AB61*(1-ABS(U61)/(ABS(Tidstabel[[#This Row],[LCC-Difference]])+ABS(U61)))),"-"))</f>
        <v>.</v>
      </c>
      <c r="AA60" s="142" t="str">
        <f>IF(Tidstabel[[#This Row],[År]]&gt;Input_Tidshorisont,BlankTegn,
Tidstabel[[#This Row],[EF_Vedligehold_Aggregeret]])</f>
        <v>.</v>
      </c>
      <c r="AB60"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60" s="142" t="str">
        <f>IFERROR(IF(Tidstabel[[#This Row],[År]]&gt;Input_Tidshorisont,BlankTegn,
Tidstabel[[#This Row],[KF_Anskaffelse_Aggregeret]]+Tidstabel[[#This Row],[KF_Engangsudgifter_Aggregeret]]),BlankTegn)</f>
        <v>.</v>
      </c>
      <c r="AD60" s="174" t="str">
        <f>IFERROR(IF(Tidstabel[[#This Row],[År]]&gt;Input_Tidshorisont,BlankTegn,
IF(Tidstabel[[#This Row],[År]]=0,0,Tidstabel[[#This Row],[NPV_Eksisterende]]*(Tidstabel[[#This Row],[Kalkulationsrente]]/(1-(1+Tidstabel[[#This Row],[Kalkulationsrente]])^-Tidstabel[[#This Row],[År]])))),BlankTegn)</f>
        <v>.</v>
      </c>
      <c r="AE60" s="264" t="str">
        <f>IFERROR(IF(Tidstabel[[#This Row],[År]]&gt;Input_Tidshorisont,BlankTegn,
IF(Tidstabel[[#This Row],[År]]=0,0,Tidstabel[[#This Row],[NPV_Klimafacade]]*(Tidstabel[[#This Row],[Kalkulationsrente]]/(1-(1+Tidstabel[[#This Row],[Kalkulationsrente]])^-Tidstabel[[#This Row],[År]])))),BlankTegn)</f>
        <v>.</v>
      </c>
      <c r="AF60" s="270" t="str">
        <f ca="1">IF(Tidstabel[[#This Row],[År]]&gt;Input_Tidshorisont,BlankTegn,
IF(EF_Vedligehold_i=1,IF(Tidstabel[[#This Row],[EF_Uds?]]=0,1,0),IF(MAX(AF59:OFFSET(AG59,2-EF_Vedligehold_i,0),Tidstabel[[#This Row],[EF_Uds?]])=0,1,0)))</f>
        <v>.</v>
      </c>
      <c r="AG60" s="181" t="str">
        <f>IF(Tidstabel[[#This Row],[År]]&gt;Input_Tidshorisont,BlankTegn,0)</f>
        <v>.</v>
      </c>
      <c r="AH60" s="263" t="str">
        <f>IF(Tidstabel[[#This Row],[År]]&gt;Input_Tidshorisont,BlankTegn,
Tidstabel[[#This Row],[EF_Ved?]]*EF_Vedligehold_p*-EF_Enhedspris*((1+Tidstabel[[#This Row],[Kalkulationsrente]])^-Tidstabel[[#This Row],[År]])*((1+PrisudviklingGenerelt)^Tidstabel[[#This Row],[År]]))</f>
        <v>.</v>
      </c>
      <c r="AI60" s="262" t="str">
        <f>IF(Tidstabel[[#This Row],[År]]&gt;Input_Tidshorisont,BlankTegn,
IF(Tidstabel[[#This Row],[År]]=0,Tidstabel[[#This Row],[EF_Vedligehold]],AI59+Tidstabel[[#This Row],[EF_Vedligehold]]))</f>
        <v>.</v>
      </c>
      <c r="AJ60" s="245" t="str">
        <f>IFERROR(IF(Tidstabel[[#This Row],[År]]&gt;Input_Tidshorisont,BlankTegn,
Tidstabel[[#This Row],[FB_Anskaffelse]]+Tidstabel[[#This Row],[VS_Anskaffelse]]+Tidstabel[[#This Row],[EI_Anskaffelse]]+Tidstabel[[#This Row],[AP_Anskaffelse]]+Tidstabel[[#This Row],[SK_Anskaffelse]]),BlankTegn)</f>
        <v>.</v>
      </c>
      <c r="AK60" s="245" t="str">
        <f>IFERROR(IF(Tidstabel[[#This Row],[År]]&gt;Input_Tidshorisont,BlankTegn,
IF(Tidstabel[[#This Row],[År]]=0,Tidstabel[[#This Row],[KF_Anskaffelse]],AK59+Tidstabel[[#This Row],[KF_Anskaffelse]])),BlankTegn)</f>
        <v>.</v>
      </c>
      <c r="AL60" s="246" t="str">
        <f>IFERROR(IF(Tidstabel[[#This Row],[År]]&gt;Input_Tidshorisont,BlankTegn,
Tidstabel[[#This Row],[FB_Vedligehold]]+Tidstabel[[#This Row],[VS_Vedligehold]]+Tidstabel[[#This Row],[EI_Vedligehold]]+Tidstabel[[#This Row],[AP_Vedligehold]]+Tidstabel[[#This Row],[SK_Vedligehold]]),BlankTegn)</f>
        <v>.</v>
      </c>
      <c r="AM60" s="245" t="str">
        <f>IFERROR(IF(Tidstabel[[#This Row],[År]]&gt;Input_Tidshorisont,BlankTegn,
IF(Tidstabel[[#This Row],[År]]=0,Tidstabel[[#This Row],[KF_Vedligehold]],AM59+Tidstabel[[#This Row],[KF_Vedligehold]])),BlankTegn)</f>
        <v>.</v>
      </c>
      <c r="AN60"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60"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60" s="245" t="str">
        <f>IFERROR(IF(Tidstabel[[#This Row],[År]]&gt;Input_Tidshorisont,BlankTegn,
IF(Tidstabel[[#This Row],[År]]=0,Tidstabel[[#This Row],[KF_Udskiftning_Komponent]],AP59+Tidstabel[[#This Row],[KF_Udskiftning_Komponent]])),BlankTegn)</f>
        <v>.</v>
      </c>
      <c r="AQ60" s="245" t="str">
        <f>IF(Tidstabel[[#This Row],[År]]&gt;Input_Tidshorisont,BlankTegn,
IF(Tidstabel[[#This Row],[År]]=0,-SUM(Engangsudgifter[Udgift]),0))</f>
        <v>.</v>
      </c>
      <c r="AR60" s="245" t="str">
        <f>IFERROR(IF(Tidstabel[[#This Row],[År]]&gt;Input_Tidshorisont,BlankTegn,
IF(Tidstabel[[#This Row],[År]]=0,Tidstabel[[#This Row],[KF_Engangsudgifter]],AR59+Tidstabel[[#This Row],[KF_Engangsudgifter]])),BlankTegn)</f>
        <v>.</v>
      </c>
      <c r="AS60" s="315" t="str">
        <f>IFERROR(IF(Tidstabel[[#This Row],[År]]&gt;Input_Tidshorisont,BlankTegn,
-Energibesparelse_Årlig),BlankTegn)</f>
        <v>.</v>
      </c>
      <c r="AT60" s="245" t="str">
        <f>IFERROR(IF(Tidstabel[[#This Row],[År]]&gt;Input_Tidshorisont,BlankTegn,
IF(Tidstabel[[#This Row],[År]]=0,0,-Tidstabel[[#This Row],[KF_Energiforbrug]]*Input_Fjernvarmepris*((1+Tidstabel[[#This Row],[Kalkulationsrente]])^-Tidstabel[[#This Row],[År]])*((1+PrisudviklingFjernvarme)^Tidstabel[[#This Row],[År]]))),BlankTegn)</f>
        <v>.</v>
      </c>
      <c r="AU60" s="262" t="str">
        <f>IFERROR(IF(Tidstabel[[#This Row],[År]]&gt;Input_Tidshorisont,BlankTegn,
IF(Tidstabel[[#This Row],[År]]=0,Tidstabel[[#This Row],[KF_Forsyning]],AU59+Tidstabel[[#This Row],[KF_Forsyning]])),BlankTegn)</f>
        <v>.</v>
      </c>
      <c r="AV60" s="245" t="str">
        <f>IFERROR(IF(Tidstabel[[#This Row],[År]]&gt;Input_Tidshorisont,BlankTegn,
IF(Tidstabel[[#This Row],[År]]=0,-FB_Enhedspris,0)),BlankTegn)</f>
        <v>.</v>
      </c>
      <c r="AW60" s="245" t="str">
        <f>IFERROR(IF(Tidstabel[[#This Row],[År]]&gt;Input_Tidshorisont,BlankTegn,
IF(Tidstabel[[#This Row],[År]]=0,FB_Enhedspris/FB_Levetid,AW59*((1+Tidstabel[[#This Row],[Kalkulationsrente]])^-1)*((1+PrisudviklingGenerelt)^1))),BlankTegn)</f>
        <v>.</v>
      </c>
      <c r="AX60" s="178" t="str">
        <f ca="1">IFERROR(IF(Tidstabel[[#This Row],[År]]&gt;Input_Tidshorisont,BlankTegn,
IF(FB_Vedligehold_i=1,IF(Tidstabel[[#This Row],[FB_Uds?]]=0,1,0),IF(MAX(AX59:OFFSET(AY59,2-FB_Vedligehold_i,0),Tidstabel[[#This Row],[FB_Uds?]])=0,1,0))),BlankTegn)</f>
        <v>.</v>
      </c>
      <c r="AY60" s="178" t="str">
        <f>IFERROR(IF(Tidstabel[[#This Row],[År]]&gt;Input_Tidshorisont,BlankTegn,
IF(Tidstabel[[#This Row],[År]]=0,1,IF(MOD(Tidstabel[[#This Row],[År]],FB_Levetid)=0,1,IF(Tidstabel[[#This Row],[År]]=Input_Tidshorisont,0,0)))),BlankTegn)</f>
        <v>.</v>
      </c>
      <c r="AZ60" s="245" t="str">
        <f>IFERROR(IF(Tidstabel[[#This Row],[År]]&gt;Input_Tidshorisont,BlankTegn,
FB_Vedligehold_p*-FB_Enhedspris*Tidstabel[[#This Row],[FB_Ved?]]*((1+Tidstabel[[#This Row],[Kalkulationsrente]])^-Tidstabel[[#This Row],[År]])*((1+PrisudviklingGenerelt)^Tidstabel[[#This Row],[År]])),BlankTegn)</f>
        <v>.</v>
      </c>
      <c r="BA60" s="245" t="str">
        <f>IFERROR(IF(Tidstabel[[#This Row],[År]]&gt;Input_Tidshorisont,BlankTegn,
IF(Tidstabel[[#This Row],[År]]=0,FB_Enhedspris,SUM(BA59:BB59)*((1+Tidstabel[[#This Row],[Kalkulationsrente]])^-1)*((1+PrisudviklingGenerelt)^1)-Tidstabel[[#This Row],[FB_Afskrivning]])),BlankTegn)</f>
        <v>.</v>
      </c>
      <c r="BB60" s="245" t="str">
        <f>IFERROR(IF(Tidstabel[[#This Row],[År]]&gt;Input_Tidshorisont,BlankTegn,
IF(Tidstabel[[#This Row],[År]]=0,0,Tidstabel[[#This Row],[FB_Uds?]]*FB_Enhedspris*((1+Tidstabel[[#This Row],[Kalkulationsrente]])^-Tidstabel[[#This Row],[År]])*((1+PrisudviklingGenerelt)^Tidstabel[[#This Row],[År]]))),BlankTegn)</f>
        <v>.</v>
      </c>
      <c r="BC60" s="262" t="str">
        <f>IFERROR(IF(Tidstabel[[#This Row],[År]]&gt;Input_Tidshorisont,BlankTegn,
IF(Tidstabel[[#This Row],[År]]=0,0,Tidstabel[[#This Row],[FB_Uds?]]*-FB_Enhedspris*FB_Genoprettelse*((1+Tidstabel[[#This Row],[Kalkulationsrente]])^-Tidstabel[[#This Row],[År]])*((1+PrisudviklingGenerelt)^Tidstabel[[#This Row],[År]]))),BlankTegn)</f>
        <v>.</v>
      </c>
      <c r="BD60" s="245" t="str">
        <f>IFERROR(IF(Tidstabel[[#This Row],[År]]&gt;Input_Tidshorisont,BlankTegn,
IF(Tidstabel[[#This Row],[År]]=0,-VS_Enhedspris,0)),BlankTegn)</f>
        <v>.</v>
      </c>
      <c r="BE60" s="245" t="str">
        <f>IFERROR(IF(Tidstabel[[#This Row],[År]]&gt;Input_Tidshorisont,BlankTegn,
IF(Tidstabel[[#This Row],[År]]=0,VS_Enhedspris/VS_Levetid,BE59*((1+Tidstabel[[#This Row],[Kalkulationsrente]])^-1)*((1+PrisudviklingGenerelt)^1))),BlankTegn)</f>
        <v>.</v>
      </c>
      <c r="BF60" s="178" t="str">
        <f ca="1">IFERROR(IF(Tidstabel[[#This Row],[År]]&gt;Input_Tidshorisont,BlankTegn,
IF(VS_Vedligehold_i=1,IF(Tidstabel[[#This Row],[VS_Uds?]]=0,1,0),IF(MAX(BF59:OFFSET(BG59,2-VS_Vedligehold_i,0),Tidstabel[[#This Row],[VS_Uds?]])=0,1,0))),BlankTegn)</f>
        <v>.</v>
      </c>
      <c r="BG60" s="178" t="str">
        <f>IFERROR(IF(Tidstabel[[#This Row],[År]]&gt;Input_Tidshorisont,BlankTegn,
IF(Tidstabel[[#This Row],[År]]=0,1,IF(MOD(Tidstabel[[#This Row],[År]],VS_Levetid)=0,1,IF(Tidstabel[[#This Row],[År]]=Input_Tidshorisont,0,0)))),BlankTegn)</f>
        <v>.</v>
      </c>
      <c r="BH60" s="245" t="str">
        <f>IFERROR(IF(Tidstabel[[#This Row],[År]]&gt;Input_Tidshorisont,BlankTegn,
VS_Vedligehold_p*-VS_Enhedspris*Tidstabel[[#This Row],[VS_Ved?]]*((1+Tidstabel[[#This Row],[Kalkulationsrente]])^-Tidstabel[[#This Row],[År]])*((1+PrisudviklingGenerelt)^Tidstabel[[#This Row],[År]])),BlankTegn)</f>
        <v>.</v>
      </c>
      <c r="BI60" s="245" t="str">
        <f>IFERROR(IF(Tidstabel[[#This Row],[År]]&gt;Input_Tidshorisont,BlankTegn,
IF(Tidstabel[[#This Row],[År]]=0,VS_Enhedspris,SUM(BI59:BJ59)*((1+Tidstabel[[#This Row],[Kalkulationsrente]])^-1)*((1+PrisudviklingGenerelt)^1)-Tidstabel[[#This Row],[VS_Afskrivning]])),BlankTegn)</f>
        <v>.</v>
      </c>
      <c r="BJ60" s="245" t="str">
        <f>IFERROR(IF(Tidstabel[[#This Row],[År]]&gt;Input_Tidshorisont,BlankTegn,
IF(Tidstabel[[#This Row],[År]]=0,0,Tidstabel[[#This Row],[VS_Uds?]]*VS_Enhedspris*((1+Tidstabel[[#This Row],[Kalkulationsrente]])^-Tidstabel[[#This Row],[År]])*((1+PrisudviklingGenerelt)^Tidstabel[[#This Row],[År]]))),BlankTegn)</f>
        <v>.</v>
      </c>
      <c r="BK60" s="262" t="str">
        <f>IFERROR(IF(Tidstabel[[#This Row],[År]]&gt;Input_Tidshorisont,BlankTegn,
IF(Tidstabel[[#This Row],[År]]=0,0,Tidstabel[[#This Row],[VS_Uds?]]*-VS_Enhedspris*VS_Genoprettelse*((1+Tidstabel[[#This Row],[Kalkulationsrente]])^-Tidstabel[[#This Row],[År]])*((1+PrisudviklingGenerelt)^Tidstabel[[#This Row],[År]]))),BlankTegn)</f>
        <v>.</v>
      </c>
      <c r="BL60" s="245" t="str">
        <f>IFERROR(IF(Tidstabel[[#This Row],[År]]&gt;Input_Tidshorisont,BlankTegn,
IF(Tidstabel[[#This Row],[År]]=0,-EI_Enhedspris,0)),BlankTegn)</f>
        <v>.</v>
      </c>
      <c r="BM60" s="245" t="str">
        <f>IFERROR(IF(Tidstabel[[#This Row],[År]]&gt;Input_Tidshorisont,BlankTegn,
IF(Tidstabel[[#This Row],[År]]=0,EI_Enhedspris/EI_Levetid,BM59*((1+Tidstabel[[#This Row],[Kalkulationsrente]])^-1)*((1+PrisudviklingGenerelt)^1))),BlankTegn)</f>
        <v>.</v>
      </c>
      <c r="BN60" s="178" t="str">
        <f ca="1">IFERROR(IF(Tidstabel[[#This Row],[År]]&gt;Input_Tidshorisont,BlankTegn,
IF(EI_Vedligehold_i=1,IF(Tidstabel[[#This Row],[EI_Uds?]]=0,1,0),IF(MAX(BN59:OFFSET(BO59,2-EI_Vedligehold_i,0),Tidstabel[[#This Row],[EI_Uds?]])=0,1,0))),BlankTegn)</f>
        <v>.</v>
      </c>
      <c r="BO60" s="178" t="str">
        <f>IFERROR(IF(Tidstabel[[#This Row],[År]]&gt;Input_Tidshorisont,BlankTegn,
IF(Tidstabel[[#This Row],[År]]=0,1,IF(MOD(Tidstabel[[#This Row],[År]],EI_Levetid)=0,1,IF(Tidstabel[[#This Row],[År]]=Input_Tidshorisont,0,0)))),BlankTegn)</f>
        <v>.</v>
      </c>
      <c r="BP60" s="245" t="str">
        <f>IFERROR(IF(Tidstabel[[#This Row],[År]]&gt;Input_Tidshorisont,BlankTegn,
EI_Vedligehold_p*-EI_Enhedspris*Tidstabel[[#This Row],[EI_Ved?]]*((1+Tidstabel[[#This Row],[Kalkulationsrente]])^-Tidstabel[[#This Row],[År]])*((1+PrisudviklingGenerelt)^Tidstabel[[#This Row],[År]])),BlankTegn)</f>
        <v>.</v>
      </c>
      <c r="BQ60" s="245" t="str">
        <f>IFERROR(IF(Tidstabel[[#This Row],[År]]&gt;Input_Tidshorisont,BlankTegn,
IF(Tidstabel[[#This Row],[År]]=0,EI_Enhedspris,SUM(BQ59:BR59)*((1+Tidstabel[[#This Row],[Kalkulationsrente]])^-1)*((1+PrisudviklingGenerelt)^1)-Tidstabel[[#This Row],[EI_Afskrivning]])),BlankTegn)</f>
        <v>.</v>
      </c>
      <c r="BR60" s="245" t="str">
        <f>IFERROR(IF(Tidstabel[[#This Row],[År]]&gt;Input_Tidshorisont,BlankTegn,
IF(Tidstabel[[#This Row],[År]]=0,0,Tidstabel[[#This Row],[EI_Uds?]]*EI_Enhedspris*((1+Tidstabel[[#This Row],[Kalkulationsrente]])^-Tidstabel[[#This Row],[År]])*((1+PrisudviklingGenerelt)^Tidstabel[[#This Row],[År]]))),BlankTegn)</f>
        <v>.</v>
      </c>
      <c r="BS60" s="262" t="str">
        <f>IFERROR(IF(Tidstabel[[#This Row],[År]]&gt;Input_Tidshorisont,BlankTegn,
IF(Tidstabel[[#This Row],[År]]=0,0,Tidstabel[[#This Row],[EI_Uds?]]*-EI_Enhedspris*EI_Genoprettelse*((1+Tidstabel[[#This Row],[Kalkulationsrente]])^-Tidstabel[[#This Row],[År]])*((1+PrisudviklingGenerelt)^Tidstabel[[#This Row],[År]]))),BlankTegn)</f>
        <v>.</v>
      </c>
      <c r="BT60" s="245" t="str">
        <f>IFERROR(IF(Tidstabel[[#This Row],[År]]&gt;Input_Tidshorisont,BlankTegn,
IF(Tidstabel[[#This Row],[År]]=0,-AP_Enhedspris,0)),BlankTegn)</f>
        <v>.</v>
      </c>
      <c r="BU60" s="245" t="str">
        <f>IFERROR(IF(Tidstabel[[#This Row],[År]]&gt;Input_Tidshorisont,BlankTegn,
IF(Tidstabel[[#This Row],[År]]=0,AP_Enhedspris/AP_Levetid,BU59*((1+Tidstabel[[#This Row],[Kalkulationsrente]])^-1)*((1+PrisudviklingGenerelt)^1))),BlankTegn)</f>
        <v>.</v>
      </c>
      <c r="BV60" s="178" t="str">
        <f ca="1">IFERROR(IF(Tidstabel[[#This Row],[År]]&gt;Input_Tidshorisont,BlankTegn,
IF(AP_Vedligehold_i=1,IF(Tidstabel[[#This Row],[AP_Uds?]]=0,1,0),IF(MAX(BV59:OFFSET(BW59,2-AP_Vedligehold_i,0),Tidstabel[[#This Row],[AP_Uds?]])=0,1,0))),BlankTegn)</f>
        <v>.</v>
      </c>
      <c r="BW60" s="178" t="str">
        <f>IFERROR(IF(Tidstabel[[#This Row],[År]]&gt;Input_Tidshorisont,BlankTegn,
IF(Tidstabel[[#This Row],[År]]=0,1,IF(MOD(Tidstabel[[#This Row],[År]],AP_Levetid)=0,1,IF(Tidstabel[[#This Row],[År]]=Input_Tidshorisont,0,0)))),BlankTegn)</f>
        <v>.</v>
      </c>
      <c r="BX60" s="245" t="str">
        <f>IFERROR(IF(Tidstabel[[#This Row],[År]]&gt;Input_Tidshorisont,BlankTegn,
AP_Vedligehold_p*-AP_Enhedspris*Tidstabel[[#This Row],[AP_Ved?]]*((1+Tidstabel[[#This Row],[Kalkulationsrente]])^-Tidstabel[[#This Row],[År]])*((1+PrisudviklingGenerelt)^Tidstabel[[#This Row],[År]])),BlankTegn)</f>
        <v>.</v>
      </c>
      <c r="BY60" s="245" t="str">
        <f>IFERROR(IF(Tidstabel[[#This Row],[År]]&gt;Input_Tidshorisont,BlankTegn,
IF(Tidstabel[[#This Row],[År]]=0,AP_Enhedspris,SUM(BY59:BZ59)*((1+Tidstabel[[#This Row],[Kalkulationsrente]])^-1)*((1+PrisudviklingGenerelt)^1)-Tidstabel[[#This Row],[AP_Afskrivning]])),BlankTegn)</f>
        <v>.</v>
      </c>
      <c r="BZ60" s="245" t="str">
        <f>IFERROR(IF(Tidstabel[[#This Row],[År]]&gt;Input_Tidshorisont,BlankTegn,
IF(Tidstabel[[#This Row],[År]]=0,0,Tidstabel[[#This Row],[AP_Uds?]]*AP_Enhedspris*((1+Tidstabel[[#This Row],[Kalkulationsrente]])^-Tidstabel[[#This Row],[År]])*((1+PrisudviklingGenerelt)^Tidstabel[[#This Row],[År]]))),BlankTegn)</f>
        <v>.</v>
      </c>
      <c r="CA60" s="262" t="str">
        <f>IFERROR(IF(Tidstabel[[#This Row],[År]]&gt;Input_Tidshorisont,BlankTegn,
IF(Tidstabel[[#This Row],[År]]=0,0,Tidstabel[[#This Row],[AP_Uds?]]*-AP_Enhedspris*AP_Genoprettelse*((1+Tidstabel[[#This Row],[Kalkulationsrente]])^-Tidstabel[[#This Row],[År]])*((1+PrisudviklingGenerelt)^Tidstabel[[#This Row],[År]]))),BlankTegn)</f>
        <v>.</v>
      </c>
      <c r="CB60" s="245" t="str">
        <f>IFERROR(IF(Tidstabel[[#This Row],[År]]&gt;Input_Tidshorisont,BlankTegn,
IF(Tidstabel[[#This Row],[År]]=0,-SK_Enhedspris,0)),BlankTegn)</f>
        <v>.</v>
      </c>
      <c r="CC60" s="245" t="str">
        <f>IFERROR(IF(Tidstabel[[#This Row],[År]]&gt;Input_Tidshorisont,BlankTegn,
IF(Tidstabel[[#This Row],[År]]=0,SK_Enhedspris/SK_Levetid,CC59*((1+Tidstabel[[#This Row],[Kalkulationsrente]])^-1)*((1+PrisudviklingGenerelt)^1))),BlankTegn)</f>
        <v>.</v>
      </c>
      <c r="CD60" s="178" t="str">
        <f ca="1">IFERROR(IF(Tidstabel[[#This Row],[År]]&gt;Input_Tidshorisont,BlankTegn,
IF(SK_Vedligehold_i=1,IF(Tidstabel[[#This Row],[SK_Uds?]]=0,1,0),IF(MAX(CD59:OFFSET(CE59,2-SK_Vedligehold_i,0),Tidstabel[[#This Row],[SK_Uds?]])=0,1,0))),BlankTegn)</f>
        <v>.</v>
      </c>
      <c r="CE60" s="178" t="str">
        <f>IFERROR(IF(Tidstabel[[#This Row],[År]]&gt;Input_Tidshorisont,BlankTegn,
IF(Tidstabel[[#This Row],[År]]=0,1,IF(MOD(Tidstabel[[#This Row],[År]],SK_Levetid)=0,1,IF(Tidstabel[[#This Row],[År]]=Input_Tidshorisont,0,0)))),BlankTegn)</f>
        <v>.</v>
      </c>
      <c r="CF60" s="245" t="str">
        <f>IFERROR(IF(Tidstabel[[#This Row],[År]]&gt;Input_Tidshorisont,BlankTegn,
SK_Vedligehold_p*-SK_Enhedspris*Tidstabel[[#This Row],[SK_Ved?]]*((1+Tidstabel[[#This Row],[Kalkulationsrente]])^-Tidstabel[[#This Row],[År]])*((1+PrisudviklingGenerelt)^Tidstabel[[#This Row],[År]])),BlankTegn)</f>
        <v>.</v>
      </c>
      <c r="CG60" s="245" t="str">
        <f>IFERROR(IF(Tidstabel[[#This Row],[År]]&gt;Input_Tidshorisont,BlankTegn,
IF(Tidstabel[[#This Row],[År]]=0,SK_Enhedspris,SUM(CG59:CH59)*((1+Tidstabel[[#This Row],[Kalkulationsrente]])^-1)*((1+PrisudviklingGenerelt)^1)-Tidstabel[[#This Row],[SK_Afskrivning]])),BlankTegn)</f>
        <v>.</v>
      </c>
      <c r="CH60" s="245" t="str">
        <f>IFERROR(IF(Tidstabel[[#This Row],[År]]&gt;Input_Tidshorisont,BlankTegn,
IF(Tidstabel[[#This Row],[År]]=0,0,Tidstabel[[#This Row],[SK_Uds?]]*SK_Enhedspris*((1+Tidstabel[[#This Row],[Kalkulationsrente]])^-Tidstabel[[#This Row],[År]])*((1+PrisudviklingGenerelt)^Tidstabel[[#This Row],[År]]))),BlankTegn)</f>
        <v>.</v>
      </c>
      <c r="CI60" s="262" t="str">
        <f>IFERROR(IF(Tidstabel[[#This Row],[År]]&gt;Input_Tidshorisont,BlankTegn,
IF(Tidstabel[[#This Row],[År]]=0,0,Tidstabel[[#This Row],[SK_Uds?]]*-SK_Enhedspris*SK_Genoprettelse*((1+Tidstabel[[#This Row],[Kalkulationsrente]])^-Tidstabel[[#This Row],[År]])*((1+PrisudviklingGenerelt)^Tidstabel[[#This Row],[År]]))),BlankTegn)</f>
        <v>.</v>
      </c>
      <c r="CJ60" s="19"/>
    </row>
    <row r="61" spans="1:88">
      <c r="A61" s="250">
        <v>54</v>
      </c>
      <c r="B61" s="250">
        <f>Input_Etableringsår+Tidstabel[[#This Row],[År]]</f>
        <v>2078</v>
      </c>
      <c r="C61" s="274" cm="1">
        <f t="array" ref="C61">_xlfn.IFS(Tidstabel[[#This Row],[År]]&gt;KR_Trin3_Tærskel,KR_Trin3_Rente,Tidstabel[[#This Row],[År]]&gt;KR_Trin2_Tærskel,KR_Trin2_Rente,Tidstabel[[#This Row],[År]]&gt;KR_Trin1_Tærskel,KR_Trin1_Rente,Tidstabel[[#This Row],[År]]&gt;KR_Trin0_Tærskel,KR_Trin0_Rente)</f>
        <v>2.5000000000000001E-2</v>
      </c>
      <c r="D61" s="142" t="str" cm="1">
        <f t="array" ref="D61">IFERROR(
INDEX(Range_Materiale_ÅrligeEmissioner,MATCH(1,(Materialedata[Komponent]=FB_Titel)*(Materialedata[Materiale]=FB_Materiale),0),MATCH(Tidstabel[[#This Row],[År]],Range_Materiale_År,0)),BlankTegn)</f>
        <v>.</v>
      </c>
      <c r="E61" s="142" t="str" cm="1">
        <f t="array" ref="E61">IFERROR(
INDEX(Range_Materiale_ÅrligeEmissioner,MATCH(1,(Materialedata[Komponent]=SK_Titel)*(Materialedata[Materiale]=SK_Materiale),0),MATCH(Tidstabel[[#This Row],[År]],Range_Materiale_År,0)),BlankTegn)</f>
        <v>.</v>
      </c>
      <c r="F61" s="142" t="str" cm="1">
        <f t="array" ref="F61">IFERROR(
INDEX(Range_Materiale_ÅrligeEmissioner,MATCH(1,(Materialedata[Komponent]=EI_Titel)*(Materialedata[Materiale]=EI_Materiale),0),MATCH(Tidstabel[[#This Row],[År]],Range_Materiale_År,0)),BlankTegn)</f>
        <v>.</v>
      </c>
      <c r="G61" s="142" t="str" cm="1">
        <f t="array" ref="G61">IFERROR(
INDEX(Range_Materiale_ÅrligeEmissioner,MATCH(1,(Materialedata[Komponent]=AP_Titel)*(Materialedata[Materiale]=AP_Materiale),0),MATCH(Tidstabel[[#This Row],[År]],Range_Materiale_År,0)),BlankTegn)</f>
        <v>.</v>
      </c>
      <c r="H61" s="142" t="str" cm="1">
        <f t="array" ref="H61">IFERROR(
INDEX(Range_Materiale_ÅrligeEmissioner,MATCH(1,(Materialedata[Komponent]=VS_Titel)*(Materialedata[Materiale]=VS_Materiale),0),MATCH(Tidstabel[[#This Row],[År]],Range_Materiale_År,0)),BlankTegn)</f>
        <v>.</v>
      </c>
      <c r="I61" s="142" t="str">
        <f>IFERROR(
IF(SUM(Tidstabel[[#This Row],[Facadebeklædning]:[Vindspærre]])=0,BlankTegn,
SUM(Tidstabel[[#This Row],[Facadebeklædning]:[Vindspærre]])),BlankTegn)</f>
        <v>.</v>
      </c>
      <c r="J61" s="139" t="str">
        <f>IF(Tidstabel[[#This Row],[År]]&gt;Input_Tidshorisont,BlankTegn,
A5_ElVarmeBrændstofByggeplads)</f>
        <v>.</v>
      </c>
      <c r="K61" s="142" t="str">
        <f>IFERROR(IF(Tidstabel[[#This Row],[År]]&gt;Input_Tidshorisont,BlankTegn,
-1*INDEX(Range_Energi_ÅrligBesparelse,MATCH(Input_EksisterendeFacade,Energiberegning[Ydervæg],0),MATCH(Tidstabel[[#This Row],[Årstal]],Range_Energi_Årstal,0))),BlankTegn)</f>
        <v>.</v>
      </c>
      <c r="L61" s="142" t="str">
        <f>IF(Tidstabel[[#This Row],[År]]&gt;Input_Tidshorisont,BlankTegn,
(Tidstabel[[#This Row],[År]]+1)*(SUM(Vedligeholdelsesmaterialer[Facadefarve],Vedligeholdelsesmaterialer[Grunder og mellemmaling])/12+SUM(Vedligeholdelsesmaterialer[Puds])/30))</f>
        <v>.</v>
      </c>
      <c r="M61" s="142" t="str">
        <f>IFERROR(IF(Tidstabel[[#This Row],[År]]&gt;Input_Tidshorisont,BlankTegn,
Tidstabel[[#This Row],[Materialer_Total]]+Tidstabel[[#This Row],[Byggeprocess]]),BlankTegn)</f>
        <v>.</v>
      </c>
      <c r="N61" s="142" t="str">
        <f>IFERROR(IF(Tidstabel[[#This Row],[År]]&gt;Input_Tidshorisont,BlankTegn,
Tidstabel[[#This Row],[Energibesparelse]]+Tidstabel[[#This Row],[Emission_Brutto]]),BlankTegn)</f>
        <v>.</v>
      </c>
      <c r="O61" s="142" t="str">
        <f>IFERROR(IF(Tidstabel[[#This Row],[År]]&gt;Input_Tidshorisont,BlankTegn,
Tidstabel[[#This Row],[Emission_Netto]]-Tidstabel[[#This Row],[Vedligehold_EksisterendeFacade]]),BlankTegn)</f>
        <v>.</v>
      </c>
      <c r="P61" s="271" t="str">
        <f>IFERROR(IF(Tidstabel[[#This Row],[År]]&gt;Input_Tidshorisont,BlankTegn,
IF(AND(Tidstabel[[#This Row],[Emission_Netto]]-Tidstabel[[#This Row],[Vedligehold_EksisterendeFacade]]&gt;0,N62-L62&lt;0),-1,IF(AND(Tidstabel[[#This Row],[Emission_Netto]]-Tidstabel[[#This Row],[Vedligehold_EksisterendeFacade]]&lt;0,N62-L62&gt;0),1,0))),BlankTegn)</f>
        <v>.</v>
      </c>
      <c r="Q61" s="174" t="str">
        <f>IF(Tidstabel[[#This Row],[År]]&gt;Input_Tidshorisont,BlankTegn,
IF(Tidstabel[[#This Row],[LCA-Skæring]]=-1,SUM(Tidstabel[[#This Row],[År]]*(1-ABS(Tidstabel[[#This Row],[LCA-Difference]])/(ABS(Tidstabel[[#This Row],[LCA-Difference]])+ABS(O62))),A62*(1-ABS(O62)/(ABS(Tidstabel[[#This Row],[LCA-Difference]])+ABS(O62)))),"-"))</f>
        <v>.</v>
      </c>
      <c r="R61" s="174" t="str">
        <f>IF(Tidstabel[[#This Row],[År]]&gt;Input_Tidshorisont,BlankTegn,
IF(Tidstabel[[#This Row],[LCA-Skæring]]=-1,SUM(Tidstabel[[#This Row],[Emission_Netto]]*(1-ABS(Tidstabel[[#This Row],[LCA-Difference]])/(ABS(Tidstabel[[#This Row],[LCA-Difference]])+ABS(O62))),N62*(1-ABS(O62)/(ABS(Tidstabel[[#This Row],[LCA-Difference]])+ABS(O62)))),"-"))</f>
        <v>.</v>
      </c>
      <c r="S61" s="174" t="str">
        <f>IF(Tidstabel[[#This Row],[År]]&gt;Input_Tidshorisont,BlankTegn,
IF(Tidstabel[[#This Row],[LCA-Skæring]]=1,SUM(Tidstabel[[#This Row],[År]]*(1-ABS(Tidstabel[[#This Row],[LCA-Difference]])/(ABS(Tidstabel[[#This Row],[LCA-Difference]])+ABS(O62))),A62*(1-ABS(O62)/(ABS(Tidstabel[[#This Row],[LCA-Difference]])+ABS(O62)))),"-"))</f>
        <v>.</v>
      </c>
      <c r="T61" s="264" t="str">
        <f>IF(Tidstabel[[#This Row],[År]]&gt;Input_Tidshorisont,BlankTegn,
IF(Tidstabel[[#This Row],[LCA-Skæring]]=1,SUM(Tidstabel[[#This Row],[Emission_Netto]]*(1-ABS(Tidstabel[[#This Row],[LCA-Difference]])/(ABS(Tidstabel[[#This Row],[LCA-Difference]])+ABS(O62))),N62*(1-ABS(O62)/(ABS(Tidstabel[[#This Row],[LCA-Difference]])+ABS(O62)))),"-"))</f>
        <v>.</v>
      </c>
      <c r="U61" s="142" t="str">
        <f>IFERROR(IF(Tidstabel[[#This Row],[År]]&gt;Input_Tidshorisont,BlankTegn,
Tidstabel[[#This Row],[NPV_Klimafacade]]-Tidstabel[[#This Row],[NPV_Eksisterende]]),BlankTegn)</f>
        <v>.</v>
      </c>
      <c r="V61" s="271" t="str">
        <f>IFERROR(IF(Tidstabel[[#This Row],[År]]&gt;Input_Tidshorisont,BlankTegn,
IF(AND(Tidstabel[[#This Row],[NPV_Klimafacade]]-Tidstabel[[#This Row],[NPV_Eksisterende]]&gt;0,AB62-AA62&lt;0),1,IF(AND(Tidstabel[[#This Row],[NPV_Klimafacade]]-Tidstabel[[#This Row],[NPV_Eksisterende]]&lt;0,AB62-AA62&gt;0),-1,0))),BlankTegn)</f>
        <v>.</v>
      </c>
      <c r="W61" s="174" t="str">
        <f>IF(Tidstabel[[#This Row],[År]]&gt;Input_Tidshorisont,BlankTegn,
IF(Tidstabel[[#This Row],[LCC-Skæring]]=-1,SUM(Tidstabel[[#This Row],[År]]*(1-ABS(Tidstabel[[#This Row],[LCC-Difference]])/(ABS(Tidstabel[[#This Row],[LCC-Difference]])+ABS(U62))),A62*(1-ABS(U62)/(ABS(Tidstabel[[#This Row],[LCC-Difference]])+ABS(U62)))),"-"))</f>
        <v>.</v>
      </c>
      <c r="X61" s="174" t="str">
        <f>IF(Tidstabel[[#This Row],[År]]&gt;Input_Tidshorisont,BlankTegn,
IF(Tidstabel[[#This Row],[LCC-Skæring]]=-1,SUM(Tidstabel[[#This Row],[NPV_Klimafacade]]*(1-ABS(Tidstabel[[#This Row],[LCC-Difference]])/(ABS(Tidstabel[[#This Row],[LCC-Difference]])+ABS(U62))),AB62*(1-ABS(U62)/(ABS(Tidstabel[[#This Row],[LCC-Difference]])+ABS(U62)))),"-"))</f>
        <v>.</v>
      </c>
      <c r="Y61" s="174" t="str">
        <f>IF(Tidstabel[[#This Row],[År]]&gt;Input_Tidshorisont,BlankTegn,
IF(Tidstabel[[#This Row],[LCC-Skæring]]=1,SUM(Tidstabel[[#This Row],[År]]*(1-ABS(Tidstabel[[#This Row],[LCC-Difference]])/(ABS(Tidstabel[[#This Row],[LCC-Difference]])+ABS(U62))),A62*(1-ABS(U62)/(ABS(Tidstabel[[#This Row],[LCC-Difference]])+ABS(U62)))),"-"))</f>
        <v>.</v>
      </c>
      <c r="Z61" s="264" t="str">
        <f>IF(Tidstabel[[#This Row],[År]]&gt;Input_Tidshorisont,BlankTegn,
IF(Tidstabel[[#This Row],[LCC-Skæring]]=1,SUM(Tidstabel[[#This Row],[NPV_Klimafacade]]*(1-ABS(Tidstabel[[#This Row],[LCC-Difference]])/(ABS(Tidstabel[[#This Row],[LCC-Difference]])+ABS(U62))),AB62*(1-ABS(U62)/(ABS(Tidstabel[[#This Row],[LCC-Difference]])+ABS(U62)))),"-"))</f>
        <v>.</v>
      </c>
      <c r="AA61" s="142" t="str">
        <f>IF(Tidstabel[[#This Row],[År]]&gt;Input_Tidshorisont,BlankTegn,
Tidstabel[[#This Row],[EF_Vedligehold_Aggregeret]])</f>
        <v>.</v>
      </c>
      <c r="AB61"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61" s="142" t="str">
        <f>IFERROR(IF(Tidstabel[[#This Row],[År]]&gt;Input_Tidshorisont,BlankTegn,
Tidstabel[[#This Row],[KF_Anskaffelse_Aggregeret]]+Tidstabel[[#This Row],[KF_Engangsudgifter_Aggregeret]]),BlankTegn)</f>
        <v>.</v>
      </c>
      <c r="AD61" s="174" t="str">
        <f>IFERROR(IF(Tidstabel[[#This Row],[År]]&gt;Input_Tidshorisont,BlankTegn,
IF(Tidstabel[[#This Row],[År]]=0,0,Tidstabel[[#This Row],[NPV_Eksisterende]]*(Tidstabel[[#This Row],[Kalkulationsrente]]/(1-(1+Tidstabel[[#This Row],[Kalkulationsrente]])^-Tidstabel[[#This Row],[År]])))),BlankTegn)</f>
        <v>.</v>
      </c>
      <c r="AE61" s="264" t="str">
        <f>IFERROR(IF(Tidstabel[[#This Row],[År]]&gt;Input_Tidshorisont,BlankTegn,
IF(Tidstabel[[#This Row],[År]]=0,0,Tidstabel[[#This Row],[NPV_Klimafacade]]*(Tidstabel[[#This Row],[Kalkulationsrente]]/(1-(1+Tidstabel[[#This Row],[Kalkulationsrente]])^-Tidstabel[[#This Row],[År]])))),BlankTegn)</f>
        <v>.</v>
      </c>
      <c r="AF61" s="270" t="str">
        <f ca="1">IF(Tidstabel[[#This Row],[År]]&gt;Input_Tidshorisont,BlankTegn,
IF(EF_Vedligehold_i=1,IF(Tidstabel[[#This Row],[EF_Uds?]]=0,1,0),IF(MAX(AF60:OFFSET(AG60,2-EF_Vedligehold_i,0),Tidstabel[[#This Row],[EF_Uds?]])=0,1,0)))</f>
        <v>.</v>
      </c>
      <c r="AG61" s="181" t="str">
        <f>IF(Tidstabel[[#This Row],[År]]&gt;Input_Tidshorisont,BlankTegn,0)</f>
        <v>.</v>
      </c>
      <c r="AH61" s="263" t="str">
        <f>IF(Tidstabel[[#This Row],[År]]&gt;Input_Tidshorisont,BlankTegn,
Tidstabel[[#This Row],[EF_Ved?]]*EF_Vedligehold_p*-EF_Enhedspris*((1+Tidstabel[[#This Row],[Kalkulationsrente]])^-Tidstabel[[#This Row],[År]])*((1+PrisudviklingGenerelt)^Tidstabel[[#This Row],[År]]))</f>
        <v>.</v>
      </c>
      <c r="AI61" s="262" t="str">
        <f>IF(Tidstabel[[#This Row],[År]]&gt;Input_Tidshorisont,BlankTegn,
IF(Tidstabel[[#This Row],[År]]=0,Tidstabel[[#This Row],[EF_Vedligehold]],AI60+Tidstabel[[#This Row],[EF_Vedligehold]]))</f>
        <v>.</v>
      </c>
      <c r="AJ61" s="245" t="str">
        <f>IFERROR(IF(Tidstabel[[#This Row],[År]]&gt;Input_Tidshorisont,BlankTegn,
Tidstabel[[#This Row],[FB_Anskaffelse]]+Tidstabel[[#This Row],[VS_Anskaffelse]]+Tidstabel[[#This Row],[EI_Anskaffelse]]+Tidstabel[[#This Row],[AP_Anskaffelse]]+Tidstabel[[#This Row],[SK_Anskaffelse]]),BlankTegn)</f>
        <v>.</v>
      </c>
      <c r="AK61" s="245" t="str">
        <f>IFERROR(IF(Tidstabel[[#This Row],[År]]&gt;Input_Tidshorisont,BlankTegn,
IF(Tidstabel[[#This Row],[År]]=0,Tidstabel[[#This Row],[KF_Anskaffelse]],AK60+Tidstabel[[#This Row],[KF_Anskaffelse]])),BlankTegn)</f>
        <v>.</v>
      </c>
      <c r="AL61" s="246" t="str">
        <f>IFERROR(IF(Tidstabel[[#This Row],[År]]&gt;Input_Tidshorisont,BlankTegn,
Tidstabel[[#This Row],[FB_Vedligehold]]+Tidstabel[[#This Row],[VS_Vedligehold]]+Tidstabel[[#This Row],[EI_Vedligehold]]+Tidstabel[[#This Row],[AP_Vedligehold]]+Tidstabel[[#This Row],[SK_Vedligehold]]),BlankTegn)</f>
        <v>.</v>
      </c>
      <c r="AM61" s="245" t="str">
        <f>IFERROR(IF(Tidstabel[[#This Row],[År]]&gt;Input_Tidshorisont,BlankTegn,
IF(Tidstabel[[#This Row],[År]]=0,Tidstabel[[#This Row],[KF_Vedligehold]],AM60+Tidstabel[[#This Row],[KF_Vedligehold]])),BlankTegn)</f>
        <v>.</v>
      </c>
      <c r="AN61"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61"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61" s="245" t="str">
        <f>IFERROR(IF(Tidstabel[[#This Row],[År]]&gt;Input_Tidshorisont,BlankTegn,
IF(Tidstabel[[#This Row],[År]]=0,Tidstabel[[#This Row],[KF_Udskiftning_Komponent]],AP60+Tidstabel[[#This Row],[KF_Udskiftning_Komponent]])),BlankTegn)</f>
        <v>.</v>
      </c>
      <c r="AQ61" s="245" t="str">
        <f>IF(Tidstabel[[#This Row],[År]]&gt;Input_Tidshorisont,BlankTegn,
IF(Tidstabel[[#This Row],[År]]=0,-SUM(Engangsudgifter[Udgift]),0))</f>
        <v>.</v>
      </c>
      <c r="AR61" s="245" t="str">
        <f>IFERROR(IF(Tidstabel[[#This Row],[År]]&gt;Input_Tidshorisont,BlankTegn,
IF(Tidstabel[[#This Row],[År]]=0,Tidstabel[[#This Row],[KF_Engangsudgifter]],AR60+Tidstabel[[#This Row],[KF_Engangsudgifter]])),BlankTegn)</f>
        <v>.</v>
      </c>
      <c r="AS61" s="315" t="str">
        <f>IFERROR(IF(Tidstabel[[#This Row],[År]]&gt;Input_Tidshorisont,BlankTegn,
-Energibesparelse_Årlig),BlankTegn)</f>
        <v>.</v>
      </c>
      <c r="AT61" s="245" t="str">
        <f>IFERROR(IF(Tidstabel[[#This Row],[År]]&gt;Input_Tidshorisont,BlankTegn,
IF(Tidstabel[[#This Row],[År]]=0,0,-Tidstabel[[#This Row],[KF_Energiforbrug]]*Input_Fjernvarmepris*((1+Tidstabel[[#This Row],[Kalkulationsrente]])^-Tidstabel[[#This Row],[År]])*((1+PrisudviklingFjernvarme)^Tidstabel[[#This Row],[År]]))),BlankTegn)</f>
        <v>.</v>
      </c>
      <c r="AU61" s="262" t="str">
        <f>IFERROR(IF(Tidstabel[[#This Row],[År]]&gt;Input_Tidshorisont,BlankTegn,
IF(Tidstabel[[#This Row],[År]]=0,Tidstabel[[#This Row],[KF_Forsyning]],AU60+Tidstabel[[#This Row],[KF_Forsyning]])),BlankTegn)</f>
        <v>.</v>
      </c>
      <c r="AV61" s="245" t="str">
        <f>IFERROR(IF(Tidstabel[[#This Row],[År]]&gt;Input_Tidshorisont,BlankTegn,
IF(Tidstabel[[#This Row],[År]]=0,-FB_Enhedspris,0)),BlankTegn)</f>
        <v>.</v>
      </c>
      <c r="AW61" s="245" t="str">
        <f>IFERROR(IF(Tidstabel[[#This Row],[År]]&gt;Input_Tidshorisont,BlankTegn,
IF(Tidstabel[[#This Row],[År]]=0,FB_Enhedspris/FB_Levetid,AW60*((1+Tidstabel[[#This Row],[Kalkulationsrente]])^-1)*((1+PrisudviklingGenerelt)^1))),BlankTegn)</f>
        <v>.</v>
      </c>
      <c r="AX61" s="178" t="str">
        <f ca="1">IFERROR(IF(Tidstabel[[#This Row],[År]]&gt;Input_Tidshorisont,BlankTegn,
IF(FB_Vedligehold_i=1,IF(Tidstabel[[#This Row],[FB_Uds?]]=0,1,0),IF(MAX(AX60:OFFSET(AY60,2-FB_Vedligehold_i,0),Tidstabel[[#This Row],[FB_Uds?]])=0,1,0))),BlankTegn)</f>
        <v>.</v>
      </c>
      <c r="AY61" s="178" t="str">
        <f>IFERROR(IF(Tidstabel[[#This Row],[År]]&gt;Input_Tidshorisont,BlankTegn,
IF(Tidstabel[[#This Row],[År]]=0,1,IF(MOD(Tidstabel[[#This Row],[År]],FB_Levetid)=0,1,IF(Tidstabel[[#This Row],[År]]=Input_Tidshorisont,0,0)))),BlankTegn)</f>
        <v>.</v>
      </c>
      <c r="AZ61" s="245" t="str">
        <f>IFERROR(IF(Tidstabel[[#This Row],[År]]&gt;Input_Tidshorisont,BlankTegn,
FB_Vedligehold_p*-FB_Enhedspris*Tidstabel[[#This Row],[FB_Ved?]]*((1+Tidstabel[[#This Row],[Kalkulationsrente]])^-Tidstabel[[#This Row],[År]])*((1+PrisudviklingGenerelt)^Tidstabel[[#This Row],[År]])),BlankTegn)</f>
        <v>.</v>
      </c>
      <c r="BA61" s="245" t="str">
        <f>IFERROR(IF(Tidstabel[[#This Row],[År]]&gt;Input_Tidshorisont,BlankTegn,
IF(Tidstabel[[#This Row],[År]]=0,FB_Enhedspris,SUM(BA60:BB60)*((1+Tidstabel[[#This Row],[Kalkulationsrente]])^-1)*((1+PrisudviklingGenerelt)^1)-Tidstabel[[#This Row],[FB_Afskrivning]])),BlankTegn)</f>
        <v>.</v>
      </c>
      <c r="BB61" s="245" t="str">
        <f>IFERROR(IF(Tidstabel[[#This Row],[År]]&gt;Input_Tidshorisont,BlankTegn,
IF(Tidstabel[[#This Row],[År]]=0,0,Tidstabel[[#This Row],[FB_Uds?]]*FB_Enhedspris*((1+Tidstabel[[#This Row],[Kalkulationsrente]])^-Tidstabel[[#This Row],[År]])*((1+PrisudviklingGenerelt)^Tidstabel[[#This Row],[År]]))),BlankTegn)</f>
        <v>.</v>
      </c>
      <c r="BC61" s="262" t="str">
        <f>IFERROR(IF(Tidstabel[[#This Row],[År]]&gt;Input_Tidshorisont,BlankTegn,
IF(Tidstabel[[#This Row],[År]]=0,0,Tidstabel[[#This Row],[FB_Uds?]]*-FB_Enhedspris*FB_Genoprettelse*((1+Tidstabel[[#This Row],[Kalkulationsrente]])^-Tidstabel[[#This Row],[År]])*((1+PrisudviklingGenerelt)^Tidstabel[[#This Row],[År]]))),BlankTegn)</f>
        <v>.</v>
      </c>
      <c r="BD61" s="245" t="str">
        <f>IFERROR(IF(Tidstabel[[#This Row],[År]]&gt;Input_Tidshorisont,BlankTegn,
IF(Tidstabel[[#This Row],[År]]=0,-VS_Enhedspris,0)),BlankTegn)</f>
        <v>.</v>
      </c>
      <c r="BE61" s="245" t="str">
        <f>IFERROR(IF(Tidstabel[[#This Row],[År]]&gt;Input_Tidshorisont,BlankTegn,
IF(Tidstabel[[#This Row],[År]]=0,VS_Enhedspris/VS_Levetid,BE60*((1+Tidstabel[[#This Row],[Kalkulationsrente]])^-1)*((1+PrisudviklingGenerelt)^1))),BlankTegn)</f>
        <v>.</v>
      </c>
      <c r="BF61" s="178" t="str">
        <f ca="1">IFERROR(IF(Tidstabel[[#This Row],[År]]&gt;Input_Tidshorisont,BlankTegn,
IF(VS_Vedligehold_i=1,IF(Tidstabel[[#This Row],[VS_Uds?]]=0,1,0),IF(MAX(BF60:OFFSET(BG60,2-VS_Vedligehold_i,0),Tidstabel[[#This Row],[VS_Uds?]])=0,1,0))),BlankTegn)</f>
        <v>.</v>
      </c>
      <c r="BG61" s="178" t="str">
        <f>IFERROR(IF(Tidstabel[[#This Row],[År]]&gt;Input_Tidshorisont,BlankTegn,
IF(Tidstabel[[#This Row],[År]]=0,1,IF(MOD(Tidstabel[[#This Row],[År]],VS_Levetid)=0,1,IF(Tidstabel[[#This Row],[År]]=Input_Tidshorisont,0,0)))),BlankTegn)</f>
        <v>.</v>
      </c>
      <c r="BH61" s="245" t="str">
        <f>IFERROR(IF(Tidstabel[[#This Row],[År]]&gt;Input_Tidshorisont,BlankTegn,
VS_Vedligehold_p*-VS_Enhedspris*Tidstabel[[#This Row],[VS_Ved?]]*((1+Tidstabel[[#This Row],[Kalkulationsrente]])^-Tidstabel[[#This Row],[År]])*((1+PrisudviklingGenerelt)^Tidstabel[[#This Row],[År]])),BlankTegn)</f>
        <v>.</v>
      </c>
      <c r="BI61" s="245" t="str">
        <f>IFERROR(IF(Tidstabel[[#This Row],[År]]&gt;Input_Tidshorisont,BlankTegn,
IF(Tidstabel[[#This Row],[År]]=0,VS_Enhedspris,SUM(BI60:BJ60)*((1+Tidstabel[[#This Row],[Kalkulationsrente]])^-1)*((1+PrisudviklingGenerelt)^1)-Tidstabel[[#This Row],[VS_Afskrivning]])),BlankTegn)</f>
        <v>.</v>
      </c>
      <c r="BJ61" s="245" t="str">
        <f>IFERROR(IF(Tidstabel[[#This Row],[År]]&gt;Input_Tidshorisont,BlankTegn,
IF(Tidstabel[[#This Row],[År]]=0,0,Tidstabel[[#This Row],[VS_Uds?]]*VS_Enhedspris*((1+Tidstabel[[#This Row],[Kalkulationsrente]])^-Tidstabel[[#This Row],[År]])*((1+PrisudviklingGenerelt)^Tidstabel[[#This Row],[År]]))),BlankTegn)</f>
        <v>.</v>
      </c>
      <c r="BK61" s="262" t="str">
        <f>IFERROR(IF(Tidstabel[[#This Row],[År]]&gt;Input_Tidshorisont,BlankTegn,
IF(Tidstabel[[#This Row],[År]]=0,0,Tidstabel[[#This Row],[VS_Uds?]]*-VS_Enhedspris*VS_Genoprettelse*((1+Tidstabel[[#This Row],[Kalkulationsrente]])^-Tidstabel[[#This Row],[År]])*((1+PrisudviklingGenerelt)^Tidstabel[[#This Row],[År]]))),BlankTegn)</f>
        <v>.</v>
      </c>
      <c r="BL61" s="245" t="str">
        <f>IFERROR(IF(Tidstabel[[#This Row],[År]]&gt;Input_Tidshorisont,BlankTegn,
IF(Tidstabel[[#This Row],[År]]=0,-EI_Enhedspris,0)),BlankTegn)</f>
        <v>.</v>
      </c>
      <c r="BM61" s="245" t="str">
        <f>IFERROR(IF(Tidstabel[[#This Row],[År]]&gt;Input_Tidshorisont,BlankTegn,
IF(Tidstabel[[#This Row],[År]]=0,EI_Enhedspris/EI_Levetid,BM60*((1+Tidstabel[[#This Row],[Kalkulationsrente]])^-1)*((1+PrisudviklingGenerelt)^1))),BlankTegn)</f>
        <v>.</v>
      </c>
      <c r="BN61" s="178" t="str">
        <f ca="1">IFERROR(IF(Tidstabel[[#This Row],[År]]&gt;Input_Tidshorisont,BlankTegn,
IF(EI_Vedligehold_i=1,IF(Tidstabel[[#This Row],[EI_Uds?]]=0,1,0),IF(MAX(BN60:OFFSET(BO60,2-EI_Vedligehold_i,0),Tidstabel[[#This Row],[EI_Uds?]])=0,1,0))),BlankTegn)</f>
        <v>.</v>
      </c>
      <c r="BO61" s="178" t="str">
        <f>IFERROR(IF(Tidstabel[[#This Row],[År]]&gt;Input_Tidshorisont,BlankTegn,
IF(Tidstabel[[#This Row],[År]]=0,1,IF(MOD(Tidstabel[[#This Row],[År]],EI_Levetid)=0,1,IF(Tidstabel[[#This Row],[År]]=Input_Tidshorisont,0,0)))),BlankTegn)</f>
        <v>.</v>
      </c>
      <c r="BP61" s="245" t="str">
        <f>IFERROR(IF(Tidstabel[[#This Row],[År]]&gt;Input_Tidshorisont,BlankTegn,
EI_Vedligehold_p*-EI_Enhedspris*Tidstabel[[#This Row],[EI_Ved?]]*((1+Tidstabel[[#This Row],[Kalkulationsrente]])^-Tidstabel[[#This Row],[År]])*((1+PrisudviklingGenerelt)^Tidstabel[[#This Row],[År]])),BlankTegn)</f>
        <v>.</v>
      </c>
      <c r="BQ61" s="245" t="str">
        <f>IFERROR(IF(Tidstabel[[#This Row],[År]]&gt;Input_Tidshorisont,BlankTegn,
IF(Tidstabel[[#This Row],[År]]=0,EI_Enhedspris,SUM(BQ60:BR60)*((1+Tidstabel[[#This Row],[Kalkulationsrente]])^-1)*((1+PrisudviklingGenerelt)^1)-Tidstabel[[#This Row],[EI_Afskrivning]])),BlankTegn)</f>
        <v>.</v>
      </c>
      <c r="BR61" s="245" t="str">
        <f>IFERROR(IF(Tidstabel[[#This Row],[År]]&gt;Input_Tidshorisont,BlankTegn,
IF(Tidstabel[[#This Row],[År]]=0,0,Tidstabel[[#This Row],[EI_Uds?]]*EI_Enhedspris*((1+Tidstabel[[#This Row],[Kalkulationsrente]])^-Tidstabel[[#This Row],[År]])*((1+PrisudviklingGenerelt)^Tidstabel[[#This Row],[År]]))),BlankTegn)</f>
        <v>.</v>
      </c>
      <c r="BS61" s="262" t="str">
        <f>IFERROR(IF(Tidstabel[[#This Row],[År]]&gt;Input_Tidshorisont,BlankTegn,
IF(Tidstabel[[#This Row],[År]]=0,0,Tidstabel[[#This Row],[EI_Uds?]]*-EI_Enhedspris*EI_Genoprettelse*((1+Tidstabel[[#This Row],[Kalkulationsrente]])^-Tidstabel[[#This Row],[År]])*((1+PrisudviklingGenerelt)^Tidstabel[[#This Row],[År]]))),BlankTegn)</f>
        <v>.</v>
      </c>
      <c r="BT61" s="245" t="str">
        <f>IFERROR(IF(Tidstabel[[#This Row],[År]]&gt;Input_Tidshorisont,BlankTegn,
IF(Tidstabel[[#This Row],[År]]=0,-AP_Enhedspris,0)),BlankTegn)</f>
        <v>.</v>
      </c>
      <c r="BU61" s="245" t="str">
        <f>IFERROR(IF(Tidstabel[[#This Row],[År]]&gt;Input_Tidshorisont,BlankTegn,
IF(Tidstabel[[#This Row],[År]]=0,AP_Enhedspris/AP_Levetid,BU60*((1+Tidstabel[[#This Row],[Kalkulationsrente]])^-1)*((1+PrisudviklingGenerelt)^1))),BlankTegn)</f>
        <v>.</v>
      </c>
      <c r="BV61" s="178" t="str">
        <f ca="1">IFERROR(IF(Tidstabel[[#This Row],[År]]&gt;Input_Tidshorisont,BlankTegn,
IF(AP_Vedligehold_i=1,IF(Tidstabel[[#This Row],[AP_Uds?]]=0,1,0),IF(MAX(BV60:OFFSET(BW60,2-AP_Vedligehold_i,0),Tidstabel[[#This Row],[AP_Uds?]])=0,1,0))),BlankTegn)</f>
        <v>.</v>
      </c>
      <c r="BW61" s="178" t="str">
        <f>IFERROR(IF(Tidstabel[[#This Row],[År]]&gt;Input_Tidshorisont,BlankTegn,
IF(Tidstabel[[#This Row],[År]]=0,1,IF(MOD(Tidstabel[[#This Row],[År]],AP_Levetid)=0,1,IF(Tidstabel[[#This Row],[År]]=Input_Tidshorisont,0,0)))),BlankTegn)</f>
        <v>.</v>
      </c>
      <c r="BX61" s="245" t="str">
        <f>IFERROR(IF(Tidstabel[[#This Row],[År]]&gt;Input_Tidshorisont,BlankTegn,
AP_Vedligehold_p*-AP_Enhedspris*Tidstabel[[#This Row],[AP_Ved?]]*((1+Tidstabel[[#This Row],[Kalkulationsrente]])^-Tidstabel[[#This Row],[År]])*((1+PrisudviklingGenerelt)^Tidstabel[[#This Row],[År]])),BlankTegn)</f>
        <v>.</v>
      </c>
      <c r="BY61" s="245" t="str">
        <f>IFERROR(IF(Tidstabel[[#This Row],[År]]&gt;Input_Tidshorisont,BlankTegn,
IF(Tidstabel[[#This Row],[År]]=0,AP_Enhedspris,SUM(BY60:BZ60)*((1+Tidstabel[[#This Row],[Kalkulationsrente]])^-1)*((1+PrisudviklingGenerelt)^1)-Tidstabel[[#This Row],[AP_Afskrivning]])),BlankTegn)</f>
        <v>.</v>
      </c>
      <c r="BZ61" s="245" t="str">
        <f>IFERROR(IF(Tidstabel[[#This Row],[År]]&gt;Input_Tidshorisont,BlankTegn,
IF(Tidstabel[[#This Row],[År]]=0,0,Tidstabel[[#This Row],[AP_Uds?]]*AP_Enhedspris*((1+Tidstabel[[#This Row],[Kalkulationsrente]])^-Tidstabel[[#This Row],[År]])*((1+PrisudviklingGenerelt)^Tidstabel[[#This Row],[År]]))),BlankTegn)</f>
        <v>.</v>
      </c>
      <c r="CA61" s="262" t="str">
        <f>IFERROR(IF(Tidstabel[[#This Row],[År]]&gt;Input_Tidshorisont,BlankTegn,
IF(Tidstabel[[#This Row],[År]]=0,0,Tidstabel[[#This Row],[AP_Uds?]]*-AP_Enhedspris*AP_Genoprettelse*((1+Tidstabel[[#This Row],[Kalkulationsrente]])^-Tidstabel[[#This Row],[År]])*((1+PrisudviklingGenerelt)^Tidstabel[[#This Row],[År]]))),BlankTegn)</f>
        <v>.</v>
      </c>
      <c r="CB61" s="245" t="str">
        <f>IFERROR(IF(Tidstabel[[#This Row],[År]]&gt;Input_Tidshorisont,BlankTegn,
IF(Tidstabel[[#This Row],[År]]=0,-SK_Enhedspris,0)),BlankTegn)</f>
        <v>.</v>
      </c>
      <c r="CC61" s="245" t="str">
        <f>IFERROR(IF(Tidstabel[[#This Row],[År]]&gt;Input_Tidshorisont,BlankTegn,
IF(Tidstabel[[#This Row],[År]]=0,SK_Enhedspris/SK_Levetid,CC60*((1+Tidstabel[[#This Row],[Kalkulationsrente]])^-1)*((1+PrisudviklingGenerelt)^1))),BlankTegn)</f>
        <v>.</v>
      </c>
      <c r="CD61" s="178" t="str">
        <f ca="1">IFERROR(IF(Tidstabel[[#This Row],[År]]&gt;Input_Tidshorisont,BlankTegn,
IF(SK_Vedligehold_i=1,IF(Tidstabel[[#This Row],[SK_Uds?]]=0,1,0),IF(MAX(CD60:OFFSET(CE60,2-SK_Vedligehold_i,0),Tidstabel[[#This Row],[SK_Uds?]])=0,1,0))),BlankTegn)</f>
        <v>.</v>
      </c>
      <c r="CE61" s="178" t="str">
        <f>IFERROR(IF(Tidstabel[[#This Row],[År]]&gt;Input_Tidshorisont,BlankTegn,
IF(Tidstabel[[#This Row],[År]]=0,1,IF(MOD(Tidstabel[[#This Row],[År]],SK_Levetid)=0,1,IF(Tidstabel[[#This Row],[År]]=Input_Tidshorisont,0,0)))),BlankTegn)</f>
        <v>.</v>
      </c>
      <c r="CF61" s="245" t="str">
        <f>IFERROR(IF(Tidstabel[[#This Row],[År]]&gt;Input_Tidshorisont,BlankTegn,
SK_Vedligehold_p*-SK_Enhedspris*Tidstabel[[#This Row],[SK_Ved?]]*((1+Tidstabel[[#This Row],[Kalkulationsrente]])^-Tidstabel[[#This Row],[År]])*((1+PrisudviklingGenerelt)^Tidstabel[[#This Row],[År]])),BlankTegn)</f>
        <v>.</v>
      </c>
      <c r="CG61" s="245" t="str">
        <f>IFERROR(IF(Tidstabel[[#This Row],[År]]&gt;Input_Tidshorisont,BlankTegn,
IF(Tidstabel[[#This Row],[År]]=0,SK_Enhedspris,SUM(CG60:CH60)*((1+Tidstabel[[#This Row],[Kalkulationsrente]])^-1)*((1+PrisudviklingGenerelt)^1)-Tidstabel[[#This Row],[SK_Afskrivning]])),BlankTegn)</f>
        <v>.</v>
      </c>
      <c r="CH61" s="245" t="str">
        <f>IFERROR(IF(Tidstabel[[#This Row],[År]]&gt;Input_Tidshorisont,BlankTegn,
IF(Tidstabel[[#This Row],[År]]=0,0,Tidstabel[[#This Row],[SK_Uds?]]*SK_Enhedspris*((1+Tidstabel[[#This Row],[Kalkulationsrente]])^-Tidstabel[[#This Row],[År]])*((1+PrisudviklingGenerelt)^Tidstabel[[#This Row],[År]]))),BlankTegn)</f>
        <v>.</v>
      </c>
      <c r="CI61" s="262" t="str">
        <f>IFERROR(IF(Tidstabel[[#This Row],[År]]&gt;Input_Tidshorisont,BlankTegn,
IF(Tidstabel[[#This Row],[År]]=0,0,Tidstabel[[#This Row],[SK_Uds?]]*-SK_Enhedspris*SK_Genoprettelse*((1+Tidstabel[[#This Row],[Kalkulationsrente]])^-Tidstabel[[#This Row],[År]])*((1+PrisudviklingGenerelt)^Tidstabel[[#This Row],[År]]))),BlankTegn)</f>
        <v>.</v>
      </c>
      <c r="CJ61" s="19"/>
    </row>
    <row r="62" spans="1:88">
      <c r="A62" s="250">
        <v>55</v>
      </c>
      <c r="B62" s="250">
        <f>Input_Etableringsår+Tidstabel[[#This Row],[År]]</f>
        <v>2079</v>
      </c>
      <c r="C62" s="274" cm="1">
        <f t="array" ref="C62">_xlfn.IFS(Tidstabel[[#This Row],[År]]&gt;KR_Trin3_Tærskel,KR_Trin3_Rente,Tidstabel[[#This Row],[År]]&gt;KR_Trin2_Tærskel,KR_Trin2_Rente,Tidstabel[[#This Row],[År]]&gt;KR_Trin1_Tærskel,KR_Trin1_Rente,Tidstabel[[#This Row],[År]]&gt;KR_Trin0_Tærskel,KR_Trin0_Rente)</f>
        <v>2.5000000000000001E-2</v>
      </c>
      <c r="D62" s="142" t="str" cm="1">
        <f t="array" ref="D62">IFERROR(
INDEX(Range_Materiale_ÅrligeEmissioner,MATCH(1,(Materialedata[Komponent]=FB_Titel)*(Materialedata[Materiale]=FB_Materiale),0),MATCH(Tidstabel[[#This Row],[År]],Range_Materiale_År,0)),BlankTegn)</f>
        <v>.</v>
      </c>
      <c r="E62" s="142" t="str" cm="1">
        <f t="array" ref="E62">IFERROR(
INDEX(Range_Materiale_ÅrligeEmissioner,MATCH(1,(Materialedata[Komponent]=SK_Titel)*(Materialedata[Materiale]=SK_Materiale),0),MATCH(Tidstabel[[#This Row],[År]],Range_Materiale_År,0)),BlankTegn)</f>
        <v>.</v>
      </c>
      <c r="F62" s="142" t="str" cm="1">
        <f t="array" ref="F62">IFERROR(
INDEX(Range_Materiale_ÅrligeEmissioner,MATCH(1,(Materialedata[Komponent]=EI_Titel)*(Materialedata[Materiale]=EI_Materiale),0),MATCH(Tidstabel[[#This Row],[År]],Range_Materiale_År,0)),BlankTegn)</f>
        <v>.</v>
      </c>
      <c r="G62" s="142" t="str" cm="1">
        <f t="array" ref="G62">IFERROR(
INDEX(Range_Materiale_ÅrligeEmissioner,MATCH(1,(Materialedata[Komponent]=AP_Titel)*(Materialedata[Materiale]=AP_Materiale),0),MATCH(Tidstabel[[#This Row],[År]],Range_Materiale_År,0)),BlankTegn)</f>
        <v>.</v>
      </c>
      <c r="H62" s="142" t="str" cm="1">
        <f t="array" ref="H62">IFERROR(
INDEX(Range_Materiale_ÅrligeEmissioner,MATCH(1,(Materialedata[Komponent]=VS_Titel)*(Materialedata[Materiale]=VS_Materiale),0),MATCH(Tidstabel[[#This Row],[År]],Range_Materiale_År,0)),BlankTegn)</f>
        <v>.</v>
      </c>
      <c r="I62" s="142" t="str">
        <f>IFERROR(
IF(SUM(Tidstabel[[#This Row],[Facadebeklædning]:[Vindspærre]])=0,BlankTegn,
SUM(Tidstabel[[#This Row],[Facadebeklædning]:[Vindspærre]])),BlankTegn)</f>
        <v>.</v>
      </c>
      <c r="J62" s="139" t="str">
        <f>IF(Tidstabel[[#This Row],[År]]&gt;Input_Tidshorisont,BlankTegn,
A5_ElVarmeBrændstofByggeplads)</f>
        <v>.</v>
      </c>
      <c r="K62" s="142" t="str">
        <f>IFERROR(IF(Tidstabel[[#This Row],[År]]&gt;Input_Tidshorisont,BlankTegn,
-1*INDEX(Range_Energi_ÅrligBesparelse,MATCH(Input_EksisterendeFacade,Energiberegning[Ydervæg],0),MATCH(Tidstabel[[#This Row],[Årstal]],Range_Energi_Årstal,0))),BlankTegn)</f>
        <v>.</v>
      </c>
      <c r="L62" s="142" t="str">
        <f>IF(Tidstabel[[#This Row],[År]]&gt;Input_Tidshorisont,BlankTegn,
(Tidstabel[[#This Row],[År]]+1)*(SUM(Vedligeholdelsesmaterialer[Facadefarve],Vedligeholdelsesmaterialer[Grunder og mellemmaling])/12+SUM(Vedligeholdelsesmaterialer[Puds])/30))</f>
        <v>.</v>
      </c>
      <c r="M62" s="142" t="str">
        <f>IFERROR(IF(Tidstabel[[#This Row],[År]]&gt;Input_Tidshorisont,BlankTegn,
Tidstabel[[#This Row],[Materialer_Total]]+Tidstabel[[#This Row],[Byggeprocess]]),BlankTegn)</f>
        <v>.</v>
      </c>
      <c r="N62" s="142" t="str">
        <f>IFERROR(IF(Tidstabel[[#This Row],[År]]&gt;Input_Tidshorisont,BlankTegn,
Tidstabel[[#This Row],[Energibesparelse]]+Tidstabel[[#This Row],[Emission_Brutto]]),BlankTegn)</f>
        <v>.</v>
      </c>
      <c r="O62" s="142" t="str">
        <f>IFERROR(IF(Tidstabel[[#This Row],[År]]&gt;Input_Tidshorisont,BlankTegn,
Tidstabel[[#This Row],[Emission_Netto]]-Tidstabel[[#This Row],[Vedligehold_EksisterendeFacade]]),BlankTegn)</f>
        <v>.</v>
      </c>
      <c r="P62" s="271" t="str">
        <f>IFERROR(IF(Tidstabel[[#This Row],[År]]&gt;Input_Tidshorisont,BlankTegn,
IF(AND(Tidstabel[[#This Row],[Emission_Netto]]-Tidstabel[[#This Row],[Vedligehold_EksisterendeFacade]]&gt;0,N63-L63&lt;0),-1,IF(AND(Tidstabel[[#This Row],[Emission_Netto]]-Tidstabel[[#This Row],[Vedligehold_EksisterendeFacade]]&lt;0,N63-L63&gt;0),1,0))),BlankTegn)</f>
        <v>.</v>
      </c>
      <c r="Q62" s="174" t="str">
        <f>IF(Tidstabel[[#This Row],[År]]&gt;Input_Tidshorisont,BlankTegn,
IF(Tidstabel[[#This Row],[LCA-Skæring]]=-1,SUM(Tidstabel[[#This Row],[År]]*(1-ABS(Tidstabel[[#This Row],[LCA-Difference]])/(ABS(Tidstabel[[#This Row],[LCA-Difference]])+ABS(O63))),A63*(1-ABS(O63)/(ABS(Tidstabel[[#This Row],[LCA-Difference]])+ABS(O63)))),"-"))</f>
        <v>.</v>
      </c>
      <c r="R62" s="174" t="str">
        <f>IF(Tidstabel[[#This Row],[År]]&gt;Input_Tidshorisont,BlankTegn,
IF(Tidstabel[[#This Row],[LCA-Skæring]]=-1,SUM(Tidstabel[[#This Row],[Emission_Netto]]*(1-ABS(Tidstabel[[#This Row],[LCA-Difference]])/(ABS(Tidstabel[[#This Row],[LCA-Difference]])+ABS(O63))),N63*(1-ABS(O63)/(ABS(Tidstabel[[#This Row],[LCA-Difference]])+ABS(O63)))),"-"))</f>
        <v>.</v>
      </c>
      <c r="S62" s="174" t="str">
        <f>IF(Tidstabel[[#This Row],[År]]&gt;Input_Tidshorisont,BlankTegn,
IF(Tidstabel[[#This Row],[LCA-Skæring]]=1,SUM(Tidstabel[[#This Row],[År]]*(1-ABS(Tidstabel[[#This Row],[LCA-Difference]])/(ABS(Tidstabel[[#This Row],[LCA-Difference]])+ABS(O63))),A63*(1-ABS(O63)/(ABS(Tidstabel[[#This Row],[LCA-Difference]])+ABS(O63)))),"-"))</f>
        <v>.</v>
      </c>
      <c r="T62" s="264" t="str">
        <f>IF(Tidstabel[[#This Row],[År]]&gt;Input_Tidshorisont,BlankTegn,
IF(Tidstabel[[#This Row],[LCA-Skæring]]=1,SUM(Tidstabel[[#This Row],[Emission_Netto]]*(1-ABS(Tidstabel[[#This Row],[LCA-Difference]])/(ABS(Tidstabel[[#This Row],[LCA-Difference]])+ABS(O63))),N63*(1-ABS(O63)/(ABS(Tidstabel[[#This Row],[LCA-Difference]])+ABS(O63)))),"-"))</f>
        <v>.</v>
      </c>
      <c r="U62" s="142" t="str">
        <f>IFERROR(IF(Tidstabel[[#This Row],[År]]&gt;Input_Tidshorisont,BlankTegn,
Tidstabel[[#This Row],[NPV_Klimafacade]]-Tidstabel[[#This Row],[NPV_Eksisterende]]),BlankTegn)</f>
        <v>.</v>
      </c>
      <c r="V62" s="271" t="str">
        <f>IFERROR(IF(Tidstabel[[#This Row],[År]]&gt;Input_Tidshorisont,BlankTegn,
IF(AND(Tidstabel[[#This Row],[NPV_Klimafacade]]-Tidstabel[[#This Row],[NPV_Eksisterende]]&gt;0,AB63-AA63&lt;0),1,IF(AND(Tidstabel[[#This Row],[NPV_Klimafacade]]-Tidstabel[[#This Row],[NPV_Eksisterende]]&lt;0,AB63-AA63&gt;0),-1,0))),BlankTegn)</f>
        <v>.</v>
      </c>
      <c r="W62" s="174" t="str">
        <f>IF(Tidstabel[[#This Row],[År]]&gt;Input_Tidshorisont,BlankTegn,
IF(Tidstabel[[#This Row],[LCC-Skæring]]=-1,SUM(Tidstabel[[#This Row],[År]]*(1-ABS(Tidstabel[[#This Row],[LCC-Difference]])/(ABS(Tidstabel[[#This Row],[LCC-Difference]])+ABS(U63))),A63*(1-ABS(U63)/(ABS(Tidstabel[[#This Row],[LCC-Difference]])+ABS(U63)))),"-"))</f>
        <v>.</v>
      </c>
      <c r="X62" s="174" t="str">
        <f>IF(Tidstabel[[#This Row],[År]]&gt;Input_Tidshorisont,BlankTegn,
IF(Tidstabel[[#This Row],[LCC-Skæring]]=-1,SUM(Tidstabel[[#This Row],[NPV_Klimafacade]]*(1-ABS(Tidstabel[[#This Row],[LCC-Difference]])/(ABS(Tidstabel[[#This Row],[LCC-Difference]])+ABS(U63))),AB63*(1-ABS(U63)/(ABS(Tidstabel[[#This Row],[LCC-Difference]])+ABS(U63)))),"-"))</f>
        <v>.</v>
      </c>
      <c r="Y62" s="174" t="str">
        <f>IF(Tidstabel[[#This Row],[År]]&gt;Input_Tidshorisont,BlankTegn,
IF(Tidstabel[[#This Row],[LCC-Skæring]]=1,SUM(Tidstabel[[#This Row],[År]]*(1-ABS(Tidstabel[[#This Row],[LCC-Difference]])/(ABS(Tidstabel[[#This Row],[LCC-Difference]])+ABS(U63))),A63*(1-ABS(U63)/(ABS(Tidstabel[[#This Row],[LCC-Difference]])+ABS(U63)))),"-"))</f>
        <v>.</v>
      </c>
      <c r="Z62" s="264" t="str">
        <f>IF(Tidstabel[[#This Row],[År]]&gt;Input_Tidshorisont,BlankTegn,
IF(Tidstabel[[#This Row],[LCC-Skæring]]=1,SUM(Tidstabel[[#This Row],[NPV_Klimafacade]]*(1-ABS(Tidstabel[[#This Row],[LCC-Difference]])/(ABS(Tidstabel[[#This Row],[LCC-Difference]])+ABS(U63))),AB63*(1-ABS(U63)/(ABS(Tidstabel[[#This Row],[LCC-Difference]])+ABS(U63)))),"-"))</f>
        <v>.</v>
      </c>
      <c r="AA62" s="142" t="str">
        <f>IF(Tidstabel[[#This Row],[År]]&gt;Input_Tidshorisont,BlankTegn,
Tidstabel[[#This Row],[EF_Vedligehold_Aggregeret]])</f>
        <v>.</v>
      </c>
      <c r="AB62"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62" s="142" t="str">
        <f>IFERROR(IF(Tidstabel[[#This Row],[År]]&gt;Input_Tidshorisont,BlankTegn,
Tidstabel[[#This Row],[KF_Anskaffelse_Aggregeret]]+Tidstabel[[#This Row],[KF_Engangsudgifter_Aggregeret]]),BlankTegn)</f>
        <v>.</v>
      </c>
      <c r="AD62" s="174" t="str">
        <f>IFERROR(IF(Tidstabel[[#This Row],[År]]&gt;Input_Tidshorisont,BlankTegn,
IF(Tidstabel[[#This Row],[År]]=0,0,Tidstabel[[#This Row],[NPV_Eksisterende]]*(Tidstabel[[#This Row],[Kalkulationsrente]]/(1-(1+Tidstabel[[#This Row],[Kalkulationsrente]])^-Tidstabel[[#This Row],[År]])))),BlankTegn)</f>
        <v>.</v>
      </c>
      <c r="AE62" s="264" t="str">
        <f>IFERROR(IF(Tidstabel[[#This Row],[År]]&gt;Input_Tidshorisont,BlankTegn,
IF(Tidstabel[[#This Row],[År]]=0,0,Tidstabel[[#This Row],[NPV_Klimafacade]]*(Tidstabel[[#This Row],[Kalkulationsrente]]/(1-(1+Tidstabel[[#This Row],[Kalkulationsrente]])^-Tidstabel[[#This Row],[År]])))),BlankTegn)</f>
        <v>.</v>
      </c>
      <c r="AF62" s="270" t="str">
        <f ca="1">IF(Tidstabel[[#This Row],[År]]&gt;Input_Tidshorisont,BlankTegn,
IF(EF_Vedligehold_i=1,IF(Tidstabel[[#This Row],[EF_Uds?]]=0,1,0),IF(MAX(AF61:OFFSET(AG61,2-EF_Vedligehold_i,0),Tidstabel[[#This Row],[EF_Uds?]])=0,1,0)))</f>
        <v>.</v>
      </c>
      <c r="AG62" s="181" t="str">
        <f>IF(Tidstabel[[#This Row],[År]]&gt;Input_Tidshorisont,BlankTegn,0)</f>
        <v>.</v>
      </c>
      <c r="AH62" s="263" t="str">
        <f>IF(Tidstabel[[#This Row],[År]]&gt;Input_Tidshorisont,BlankTegn,
Tidstabel[[#This Row],[EF_Ved?]]*EF_Vedligehold_p*-EF_Enhedspris*((1+Tidstabel[[#This Row],[Kalkulationsrente]])^-Tidstabel[[#This Row],[År]])*((1+PrisudviklingGenerelt)^Tidstabel[[#This Row],[År]]))</f>
        <v>.</v>
      </c>
      <c r="AI62" s="262" t="str">
        <f>IF(Tidstabel[[#This Row],[År]]&gt;Input_Tidshorisont,BlankTegn,
IF(Tidstabel[[#This Row],[År]]=0,Tidstabel[[#This Row],[EF_Vedligehold]],AI61+Tidstabel[[#This Row],[EF_Vedligehold]]))</f>
        <v>.</v>
      </c>
      <c r="AJ62" s="245" t="str">
        <f>IFERROR(IF(Tidstabel[[#This Row],[År]]&gt;Input_Tidshorisont,BlankTegn,
Tidstabel[[#This Row],[FB_Anskaffelse]]+Tidstabel[[#This Row],[VS_Anskaffelse]]+Tidstabel[[#This Row],[EI_Anskaffelse]]+Tidstabel[[#This Row],[AP_Anskaffelse]]+Tidstabel[[#This Row],[SK_Anskaffelse]]),BlankTegn)</f>
        <v>.</v>
      </c>
      <c r="AK62" s="245" t="str">
        <f>IFERROR(IF(Tidstabel[[#This Row],[År]]&gt;Input_Tidshorisont,BlankTegn,
IF(Tidstabel[[#This Row],[År]]=0,Tidstabel[[#This Row],[KF_Anskaffelse]],AK61+Tidstabel[[#This Row],[KF_Anskaffelse]])),BlankTegn)</f>
        <v>.</v>
      </c>
      <c r="AL62" s="246" t="str">
        <f>IFERROR(IF(Tidstabel[[#This Row],[År]]&gt;Input_Tidshorisont,BlankTegn,
Tidstabel[[#This Row],[FB_Vedligehold]]+Tidstabel[[#This Row],[VS_Vedligehold]]+Tidstabel[[#This Row],[EI_Vedligehold]]+Tidstabel[[#This Row],[AP_Vedligehold]]+Tidstabel[[#This Row],[SK_Vedligehold]]),BlankTegn)</f>
        <v>.</v>
      </c>
      <c r="AM62" s="245" t="str">
        <f>IFERROR(IF(Tidstabel[[#This Row],[År]]&gt;Input_Tidshorisont,BlankTegn,
IF(Tidstabel[[#This Row],[År]]=0,Tidstabel[[#This Row],[KF_Vedligehold]],AM61+Tidstabel[[#This Row],[KF_Vedligehold]])),BlankTegn)</f>
        <v>.</v>
      </c>
      <c r="AN62"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62"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62" s="245" t="str">
        <f>IFERROR(IF(Tidstabel[[#This Row],[År]]&gt;Input_Tidshorisont,BlankTegn,
IF(Tidstabel[[#This Row],[År]]=0,Tidstabel[[#This Row],[KF_Udskiftning_Komponent]],AP61+Tidstabel[[#This Row],[KF_Udskiftning_Komponent]])),BlankTegn)</f>
        <v>.</v>
      </c>
      <c r="AQ62" s="245" t="str">
        <f>IF(Tidstabel[[#This Row],[År]]&gt;Input_Tidshorisont,BlankTegn,
IF(Tidstabel[[#This Row],[År]]=0,-SUM(Engangsudgifter[Udgift]),0))</f>
        <v>.</v>
      </c>
      <c r="AR62" s="245" t="str">
        <f>IFERROR(IF(Tidstabel[[#This Row],[År]]&gt;Input_Tidshorisont,BlankTegn,
IF(Tidstabel[[#This Row],[År]]=0,Tidstabel[[#This Row],[KF_Engangsudgifter]],AR61+Tidstabel[[#This Row],[KF_Engangsudgifter]])),BlankTegn)</f>
        <v>.</v>
      </c>
      <c r="AS62" s="315" t="str">
        <f>IFERROR(IF(Tidstabel[[#This Row],[År]]&gt;Input_Tidshorisont,BlankTegn,
-Energibesparelse_Årlig),BlankTegn)</f>
        <v>.</v>
      </c>
      <c r="AT62" s="245" t="str">
        <f>IFERROR(IF(Tidstabel[[#This Row],[År]]&gt;Input_Tidshorisont,BlankTegn,
IF(Tidstabel[[#This Row],[År]]=0,0,-Tidstabel[[#This Row],[KF_Energiforbrug]]*Input_Fjernvarmepris*((1+Tidstabel[[#This Row],[Kalkulationsrente]])^-Tidstabel[[#This Row],[År]])*((1+PrisudviklingFjernvarme)^Tidstabel[[#This Row],[År]]))),BlankTegn)</f>
        <v>.</v>
      </c>
      <c r="AU62" s="262" t="str">
        <f>IFERROR(IF(Tidstabel[[#This Row],[År]]&gt;Input_Tidshorisont,BlankTegn,
IF(Tidstabel[[#This Row],[År]]=0,Tidstabel[[#This Row],[KF_Forsyning]],AU61+Tidstabel[[#This Row],[KF_Forsyning]])),BlankTegn)</f>
        <v>.</v>
      </c>
      <c r="AV62" s="245" t="str">
        <f>IFERROR(IF(Tidstabel[[#This Row],[År]]&gt;Input_Tidshorisont,BlankTegn,
IF(Tidstabel[[#This Row],[År]]=0,-FB_Enhedspris,0)),BlankTegn)</f>
        <v>.</v>
      </c>
      <c r="AW62" s="245" t="str">
        <f>IFERROR(IF(Tidstabel[[#This Row],[År]]&gt;Input_Tidshorisont,BlankTegn,
IF(Tidstabel[[#This Row],[År]]=0,FB_Enhedspris/FB_Levetid,AW61*((1+Tidstabel[[#This Row],[Kalkulationsrente]])^-1)*((1+PrisudviklingGenerelt)^1))),BlankTegn)</f>
        <v>.</v>
      </c>
      <c r="AX62" s="178" t="str">
        <f ca="1">IFERROR(IF(Tidstabel[[#This Row],[År]]&gt;Input_Tidshorisont,BlankTegn,
IF(FB_Vedligehold_i=1,IF(Tidstabel[[#This Row],[FB_Uds?]]=0,1,0),IF(MAX(AX61:OFFSET(AY61,2-FB_Vedligehold_i,0),Tidstabel[[#This Row],[FB_Uds?]])=0,1,0))),BlankTegn)</f>
        <v>.</v>
      </c>
      <c r="AY62" s="178" t="str">
        <f>IFERROR(IF(Tidstabel[[#This Row],[År]]&gt;Input_Tidshorisont,BlankTegn,
IF(Tidstabel[[#This Row],[År]]=0,1,IF(MOD(Tidstabel[[#This Row],[År]],FB_Levetid)=0,1,IF(Tidstabel[[#This Row],[År]]=Input_Tidshorisont,0,0)))),BlankTegn)</f>
        <v>.</v>
      </c>
      <c r="AZ62" s="245" t="str">
        <f>IFERROR(IF(Tidstabel[[#This Row],[År]]&gt;Input_Tidshorisont,BlankTegn,
FB_Vedligehold_p*-FB_Enhedspris*Tidstabel[[#This Row],[FB_Ved?]]*((1+Tidstabel[[#This Row],[Kalkulationsrente]])^-Tidstabel[[#This Row],[År]])*((1+PrisudviklingGenerelt)^Tidstabel[[#This Row],[År]])),BlankTegn)</f>
        <v>.</v>
      </c>
      <c r="BA62" s="245" t="str">
        <f>IFERROR(IF(Tidstabel[[#This Row],[År]]&gt;Input_Tidshorisont,BlankTegn,
IF(Tidstabel[[#This Row],[År]]=0,FB_Enhedspris,SUM(BA61:BB61)*((1+Tidstabel[[#This Row],[Kalkulationsrente]])^-1)*((1+PrisudviklingGenerelt)^1)-Tidstabel[[#This Row],[FB_Afskrivning]])),BlankTegn)</f>
        <v>.</v>
      </c>
      <c r="BB62" s="245" t="str">
        <f>IFERROR(IF(Tidstabel[[#This Row],[År]]&gt;Input_Tidshorisont,BlankTegn,
IF(Tidstabel[[#This Row],[År]]=0,0,Tidstabel[[#This Row],[FB_Uds?]]*FB_Enhedspris*((1+Tidstabel[[#This Row],[Kalkulationsrente]])^-Tidstabel[[#This Row],[År]])*((1+PrisudviklingGenerelt)^Tidstabel[[#This Row],[År]]))),BlankTegn)</f>
        <v>.</v>
      </c>
      <c r="BC62" s="262" t="str">
        <f>IFERROR(IF(Tidstabel[[#This Row],[År]]&gt;Input_Tidshorisont,BlankTegn,
IF(Tidstabel[[#This Row],[År]]=0,0,Tidstabel[[#This Row],[FB_Uds?]]*-FB_Enhedspris*FB_Genoprettelse*((1+Tidstabel[[#This Row],[Kalkulationsrente]])^-Tidstabel[[#This Row],[År]])*((1+PrisudviklingGenerelt)^Tidstabel[[#This Row],[År]]))),BlankTegn)</f>
        <v>.</v>
      </c>
      <c r="BD62" s="245" t="str">
        <f>IFERROR(IF(Tidstabel[[#This Row],[År]]&gt;Input_Tidshorisont,BlankTegn,
IF(Tidstabel[[#This Row],[År]]=0,-VS_Enhedspris,0)),BlankTegn)</f>
        <v>.</v>
      </c>
      <c r="BE62" s="245" t="str">
        <f>IFERROR(IF(Tidstabel[[#This Row],[År]]&gt;Input_Tidshorisont,BlankTegn,
IF(Tidstabel[[#This Row],[År]]=0,VS_Enhedspris/VS_Levetid,BE61*((1+Tidstabel[[#This Row],[Kalkulationsrente]])^-1)*((1+PrisudviklingGenerelt)^1))),BlankTegn)</f>
        <v>.</v>
      </c>
      <c r="BF62" s="178" t="str">
        <f ca="1">IFERROR(IF(Tidstabel[[#This Row],[År]]&gt;Input_Tidshorisont,BlankTegn,
IF(VS_Vedligehold_i=1,IF(Tidstabel[[#This Row],[VS_Uds?]]=0,1,0),IF(MAX(BF61:OFFSET(BG61,2-VS_Vedligehold_i,0),Tidstabel[[#This Row],[VS_Uds?]])=0,1,0))),BlankTegn)</f>
        <v>.</v>
      </c>
      <c r="BG62" s="178" t="str">
        <f>IFERROR(IF(Tidstabel[[#This Row],[År]]&gt;Input_Tidshorisont,BlankTegn,
IF(Tidstabel[[#This Row],[År]]=0,1,IF(MOD(Tidstabel[[#This Row],[År]],VS_Levetid)=0,1,IF(Tidstabel[[#This Row],[År]]=Input_Tidshorisont,0,0)))),BlankTegn)</f>
        <v>.</v>
      </c>
      <c r="BH62" s="245" t="str">
        <f>IFERROR(IF(Tidstabel[[#This Row],[År]]&gt;Input_Tidshorisont,BlankTegn,
VS_Vedligehold_p*-VS_Enhedspris*Tidstabel[[#This Row],[VS_Ved?]]*((1+Tidstabel[[#This Row],[Kalkulationsrente]])^-Tidstabel[[#This Row],[År]])*((1+PrisudviklingGenerelt)^Tidstabel[[#This Row],[År]])),BlankTegn)</f>
        <v>.</v>
      </c>
      <c r="BI62" s="245" t="str">
        <f>IFERROR(IF(Tidstabel[[#This Row],[År]]&gt;Input_Tidshorisont,BlankTegn,
IF(Tidstabel[[#This Row],[År]]=0,VS_Enhedspris,SUM(BI61:BJ61)*((1+Tidstabel[[#This Row],[Kalkulationsrente]])^-1)*((1+PrisudviklingGenerelt)^1)-Tidstabel[[#This Row],[VS_Afskrivning]])),BlankTegn)</f>
        <v>.</v>
      </c>
      <c r="BJ62" s="245" t="str">
        <f>IFERROR(IF(Tidstabel[[#This Row],[År]]&gt;Input_Tidshorisont,BlankTegn,
IF(Tidstabel[[#This Row],[År]]=0,0,Tidstabel[[#This Row],[VS_Uds?]]*VS_Enhedspris*((1+Tidstabel[[#This Row],[Kalkulationsrente]])^-Tidstabel[[#This Row],[År]])*((1+PrisudviklingGenerelt)^Tidstabel[[#This Row],[År]]))),BlankTegn)</f>
        <v>.</v>
      </c>
      <c r="BK62" s="262" t="str">
        <f>IFERROR(IF(Tidstabel[[#This Row],[År]]&gt;Input_Tidshorisont,BlankTegn,
IF(Tidstabel[[#This Row],[År]]=0,0,Tidstabel[[#This Row],[VS_Uds?]]*-VS_Enhedspris*VS_Genoprettelse*((1+Tidstabel[[#This Row],[Kalkulationsrente]])^-Tidstabel[[#This Row],[År]])*((1+PrisudviklingGenerelt)^Tidstabel[[#This Row],[År]]))),BlankTegn)</f>
        <v>.</v>
      </c>
      <c r="BL62" s="245" t="str">
        <f>IFERROR(IF(Tidstabel[[#This Row],[År]]&gt;Input_Tidshorisont,BlankTegn,
IF(Tidstabel[[#This Row],[År]]=0,-EI_Enhedspris,0)),BlankTegn)</f>
        <v>.</v>
      </c>
      <c r="BM62" s="245" t="str">
        <f>IFERROR(IF(Tidstabel[[#This Row],[År]]&gt;Input_Tidshorisont,BlankTegn,
IF(Tidstabel[[#This Row],[År]]=0,EI_Enhedspris/EI_Levetid,BM61*((1+Tidstabel[[#This Row],[Kalkulationsrente]])^-1)*((1+PrisudviklingGenerelt)^1))),BlankTegn)</f>
        <v>.</v>
      </c>
      <c r="BN62" s="178" t="str">
        <f ca="1">IFERROR(IF(Tidstabel[[#This Row],[År]]&gt;Input_Tidshorisont,BlankTegn,
IF(EI_Vedligehold_i=1,IF(Tidstabel[[#This Row],[EI_Uds?]]=0,1,0),IF(MAX(BN61:OFFSET(BO61,2-EI_Vedligehold_i,0),Tidstabel[[#This Row],[EI_Uds?]])=0,1,0))),BlankTegn)</f>
        <v>.</v>
      </c>
      <c r="BO62" s="178" t="str">
        <f>IFERROR(IF(Tidstabel[[#This Row],[År]]&gt;Input_Tidshorisont,BlankTegn,
IF(Tidstabel[[#This Row],[År]]=0,1,IF(MOD(Tidstabel[[#This Row],[År]],EI_Levetid)=0,1,IF(Tidstabel[[#This Row],[År]]=Input_Tidshorisont,0,0)))),BlankTegn)</f>
        <v>.</v>
      </c>
      <c r="BP62" s="245" t="str">
        <f>IFERROR(IF(Tidstabel[[#This Row],[År]]&gt;Input_Tidshorisont,BlankTegn,
EI_Vedligehold_p*-EI_Enhedspris*Tidstabel[[#This Row],[EI_Ved?]]*((1+Tidstabel[[#This Row],[Kalkulationsrente]])^-Tidstabel[[#This Row],[År]])*((1+PrisudviklingGenerelt)^Tidstabel[[#This Row],[År]])),BlankTegn)</f>
        <v>.</v>
      </c>
      <c r="BQ62" s="245" t="str">
        <f>IFERROR(IF(Tidstabel[[#This Row],[År]]&gt;Input_Tidshorisont,BlankTegn,
IF(Tidstabel[[#This Row],[År]]=0,EI_Enhedspris,SUM(BQ61:BR61)*((1+Tidstabel[[#This Row],[Kalkulationsrente]])^-1)*((1+PrisudviklingGenerelt)^1)-Tidstabel[[#This Row],[EI_Afskrivning]])),BlankTegn)</f>
        <v>.</v>
      </c>
      <c r="BR62" s="245" t="str">
        <f>IFERROR(IF(Tidstabel[[#This Row],[År]]&gt;Input_Tidshorisont,BlankTegn,
IF(Tidstabel[[#This Row],[År]]=0,0,Tidstabel[[#This Row],[EI_Uds?]]*EI_Enhedspris*((1+Tidstabel[[#This Row],[Kalkulationsrente]])^-Tidstabel[[#This Row],[År]])*((1+PrisudviklingGenerelt)^Tidstabel[[#This Row],[År]]))),BlankTegn)</f>
        <v>.</v>
      </c>
      <c r="BS62" s="262" t="str">
        <f>IFERROR(IF(Tidstabel[[#This Row],[År]]&gt;Input_Tidshorisont,BlankTegn,
IF(Tidstabel[[#This Row],[År]]=0,0,Tidstabel[[#This Row],[EI_Uds?]]*-EI_Enhedspris*EI_Genoprettelse*((1+Tidstabel[[#This Row],[Kalkulationsrente]])^-Tidstabel[[#This Row],[År]])*((1+PrisudviklingGenerelt)^Tidstabel[[#This Row],[År]]))),BlankTegn)</f>
        <v>.</v>
      </c>
      <c r="BT62" s="245" t="str">
        <f>IFERROR(IF(Tidstabel[[#This Row],[År]]&gt;Input_Tidshorisont,BlankTegn,
IF(Tidstabel[[#This Row],[År]]=0,-AP_Enhedspris,0)),BlankTegn)</f>
        <v>.</v>
      </c>
      <c r="BU62" s="245" t="str">
        <f>IFERROR(IF(Tidstabel[[#This Row],[År]]&gt;Input_Tidshorisont,BlankTegn,
IF(Tidstabel[[#This Row],[År]]=0,AP_Enhedspris/AP_Levetid,BU61*((1+Tidstabel[[#This Row],[Kalkulationsrente]])^-1)*((1+PrisudviklingGenerelt)^1))),BlankTegn)</f>
        <v>.</v>
      </c>
      <c r="BV62" s="178" t="str">
        <f ca="1">IFERROR(IF(Tidstabel[[#This Row],[År]]&gt;Input_Tidshorisont,BlankTegn,
IF(AP_Vedligehold_i=1,IF(Tidstabel[[#This Row],[AP_Uds?]]=0,1,0),IF(MAX(BV61:OFFSET(BW61,2-AP_Vedligehold_i,0),Tidstabel[[#This Row],[AP_Uds?]])=0,1,0))),BlankTegn)</f>
        <v>.</v>
      </c>
      <c r="BW62" s="178" t="str">
        <f>IFERROR(IF(Tidstabel[[#This Row],[År]]&gt;Input_Tidshorisont,BlankTegn,
IF(Tidstabel[[#This Row],[År]]=0,1,IF(MOD(Tidstabel[[#This Row],[År]],AP_Levetid)=0,1,IF(Tidstabel[[#This Row],[År]]=Input_Tidshorisont,0,0)))),BlankTegn)</f>
        <v>.</v>
      </c>
      <c r="BX62" s="245" t="str">
        <f>IFERROR(IF(Tidstabel[[#This Row],[År]]&gt;Input_Tidshorisont,BlankTegn,
AP_Vedligehold_p*-AP_Enhedspris*Tidstabel[[#This Row],[AP_Ved?]]*((1+Tidstabel[[#This Row],[Kalkulationsrente]])^-Tidstabel[[#This Row],[År]])*((1+PrisudviklingGenerelt)^Tidstabel[[#This Row],[År]])),BlankTegn)</f>
        <v>.</v>
      </c>
      <c r="BY62" s="245" t="str">
        <f>IFERROR(IF(Tidstabel[[#This Row],[År]]&gt;Input_Tidshorisont,BlankTegn,
IF(Tidstabel[[#This Row],[År]]=0,AP_Enhedspris,SUM(BY61:BZ61)*((1+Tidstabel[[#This Row],[Kalkulationsrente]])^-1)*((1+PrisudviklingGenerelt)^1)-Tidstabel[[#This Row],[AP_Afskrivning]])),BlankTegn)</f>
        <v>.</v>
      </c>
      <c r="BZ62" s="245" t="str">
        <f>IFERROR(IF(Tidstabel[[#This Row],[År]]&gt;Input_Tidshorisont,BlankTegn,
IF(Tidstabel[[#This Row],[År]]=0,0,Tidstabel[[#This Row],[AP_Uds?]]*AP_Enhedspris*((1+Tidstabel[[#This Row],[Kalkulationsrente]])^-Tidstabel[[#This Row],[År]])*((1+PrisudviklingGenerelt)^Tidstabel[[#This Row],[År]]))),BlankTegn)</f>
        <v>.</v>
      </c>
      <c r="CA62" s="262" t="str">
        <f>IFERROR(IF(Tidstabel[[#This Row],[År]]&gt;Input_Tidshorisont,BlankTegn,
IF(Tidstabel[[#This Row],[År]]=0,0,Tidstabel[[#This Row],[AP_Uds?]]*-AP_Enhedspris*AP_Genoprettelse*((1+Tidstabel[[#This Row],[Kalkulationsrente]])^-Tidstabel[[#This Row],[År]])*((1+PrisudviklingGenerelt)^Tidstabel[[#This Row],[År]]))),BlankTegn)</f>
        <v>.</v>
      </c>
      <c r="CB62" s="245" t="str">
        <f>IFERROR(IF(Tidstabel[[#This Row],[År]]&gt;Input_Tidshorisont,BlankTegn,
IF(Tidstabel[[#This Row],[År]]=0,-SK_Enhedspris,0)),BlankTegn)</f>
        <v>.</v>
      </c>
      <c r="CC62" s="245" t="str">
        <f>IFERROR(IF(Tidstabel[[#This Row],[År]]&gt;Input_Tidshorisont,BlankTegn,
IF(Tidstabel[[#This Row],[År]]=0,SK_Enhedspris/SK_Levetid,CC61*((1+Tidstabel[[#This Row],[Kalkulationsrente]])^-1)*((1+PrisudviklingGenerelt)^1))),BlankTegn)</f>
        <v>.</v>
      </c>
      <c r="CD62" s="178" t="str">
        <f ca="1">IFERROR(IF(Tidstabel[[#This Row],[År]]&gt;Input_Tidshorisont,BlankTegn,
IF(SK_Vedligehold_i=1,IF(Tidstabel[[#This Row],[SK_Uds?]]=0,1,0),IF(MAX(CD61:OFFSET(CE61,2-SK_Vedligehold_i,0),Tidstabel[[#This Row],[SK_Uds?]])=0,1,0))),BlankTegn)</f>
        <v>.</v>
      </c>
      <c r="CE62" s="178" t="str">
        <f>IFERROR(IF(Tidstabel[[#This Row],[År]]&gt;Input_Tidshorisont,BlankTegn,
IF(Tidstabel[[#This Row],[År]]=0,1,IF(MOD(Tidstabel[[#This Row],[År]],SK_Levetid)=0,1,IF(Tidstabel[[#This Row],[År]]=Input_Tidshorisont,0,0)))),BlankTegn)</f>
        <v>.</v>
      </c>
      <c r="CF62" s="245" t="str">
        <f>IFERROR(IF(Tidstabel[[#This Row],[År]]&gt;Input_Tidshorisont,BlankTegn,
SK_Vedligehold_p*-SK_Enhedspris*Tidstabel[[#This Row],[SK_Ved?]]*((1+Tidstabel[[#This Row],[Kalkulationsrente]])^-Tidstabel[[#This Row],[År]])*((1+PrisudviklingGenerelt)^Tidstabel[[#This Row],[År]])),BlankTegn)</f>
        <v>.</v>
      </c>
      <c r="CG62" s="245" t="str">
        <f>IFERROR(IF(Tidstabel[[#This Row],[År]]&gt;Input_Tidshorisont,BlankTegn,
IF(Tidstabel[[#This Row],[År]]=0,SK_Enhedspris,SUM(CG61:CH61)*((1+Tidstabel[[#This Row],[Kalkulationsrente]])^-1)*((1+PrisudviklingGenerelt)^1)-Tidstabel[[#This Row],[SK_Afskrivning]])),BlankTegn)</f>
        <v>.</v>
      </c>
      <c r="CH62" s="245" t="str">
        <f>IFERROR(IF(Tidstabel[[#This Row],[År]]&gt;Input_Tidshorisont,BlankTegn,
IF(Tidstabel[[#This Row],[År]]=0,0,Tidstabel[[#This Row],[SK_Uds?]]*SK_Enhedspris*((1+Tidstabel[[#This Row],[Kalkulationsrente]])^-Tidstabel[[#This Row],[År]])*((1+PrisudviklingGenerelt)^Tidstabel[[#This Row],[År]]))),BlankTegn)</f>
        <v>.</v>
      </c>
      <c r="CI62" s="262" t="str">
        <f>IFERROR(IF(Tidstabel[[#This Row],[År]]&gt;Input_Tidshorisont,BlankTegn,
IF(Tidstabel[[#This Row],[År]]=0,0,Tidstabel[[#This Row],[SK_Uds?]]*-SK_Enhedspris*SK_Genoprettelse*((1+Tidstabel[[#This Row],[Kalkulationsrente]])^-Tidstabel[[#This Row],[År]])*((1+PrisudviklingGenerelt)^Tidstabel[[#This Row],[År]]))),BlankTegn)</f>
        <v>.</v>
      </c>
      <c r="CJ62" s="19"/>
    </row>
    <row r="63" spans="1:88">
      <c r="A63" s="250">
        <v>56</v>
      </c>
      <c r="B63" s="250">
        <f>Input_Etableringsår+Tidstabel[[#This Row],[År]]</f>
        <v>2080</v>
      </c>
      <c r="C63" s="274" cm="1">
        <f t="array" ref="C63">_xlfn.IFS(Tidstabel[[#This Row],[År]]&gt;KR_Trin3_Tærskel,KR_Trin3_Rente,Tidstabel[[#This Row],[År]]&gt;KR_Trin2_Tærskel,KR_Trin2_Rente,Tidstabel[[#This Row],[År]]&gt;KR_Trin1_Tærskel,KR_Trin1_Rente,Tidstabel[[#This Row],[År]]&gt;KR_Trin0_Tærskel,KR_Trin0_Rente)</f>
        <v>2.5000000000000001E-2</v>
      </c>
      <c r="D63" s="142" t="str" cm="1">
        <f t="array" ref="D63">IFERROR(
INDEX(Range_Materiale_ÅrligeEmissioner,MATCH(1,(Materialedata[Komponent]=FB_Titel)*(Materialedata[Materiale]=FB_Materiale),0),MATCH(Tidstabel[[#This Row],[År]],Range_Materiale_År,0)),BlankTegn)</f>
        <v>.</v>
      </c>
      <c r="E63" s="142" t="str" cm="1">
        <f t="array" ref="E63">IFERROR(
INDEX(Range_Materiale_ÅrligeEmissioner,MATCH(1,(Materialedata[Komponent]=SK_Titel)*(Materialedata[Materiale]=SK_Materiale),0),MATCH(Tidstabel[[#This Row],[År]],Range_Materiale_År,0)),BlankTegn)</f>
        <v>.</v>
      </c>
      <c r="F63" s="142" t="str" cm="1">
        <f t="array" ref="F63">IFERROR(
INDEX(Range_Materiale_ÅrligeEmissioner,MATCH(1,(Materialedata[Komponent]=EI_Titel)*(Materialedata[Materiale]=EI_Materiale),0),MATCH(Tidstabel[[#This Row],[År]],Range_Materiale_År,0)),BlankTegn)</f>
        <v>.</v>
      </c>
      <c r="G63" s="142" t="str" cm="1">
        <f t="array" ref="G63">IFERROR(
INDEX(Range_Materiale_ÅrligeEmissioner,MATCH(1,(Materialedata[Komponent]=AP_Titel)*(Materialedata[Materiale]=AP_Materiale),0),MATCH(Tidstabel[[#This Row],[År]],Range_Materiale_År,0)),BlankTegn)</f>
        <v>.</v>
      </c>
      <c r="H63" s="142" t="str" cm="1">
        <f t="array" ref="H63">IFERROR(
INDEX(Range_Materiale_ÅrligeEmissioner,MATCH(1,(Materialedata[Komponent]=VS_Titel)*(Materialedata[Materiale]=VS_Materiale),0),MATCH(Tidstabel[[#This Row],[År]],Range_Materiale_År,0)),BlankTegn)</f>
        <v>.</v>
      </c>
      <c r="I63" s="142" t="str">
        <f>IFERROR(
IF(SUM(Tidstabel[[#This Row],[Facadebeklædning]:[Vindspærre]])=0,BlankTegn,
SUM(Tidstabel[[#This Row],[Facadebeklædning]:[Vindspærre]])),BlankTegn)</f>
        <v>.</v>
      </c>
      <c r="J63" s="139" t="str">
        <f>IF(Tidstabel[[#This Row],[År]]&gt;Input_Tidshorisont,BlankTegn,
A5_ElVarmeBrændstofByggeplads)</f>
        <v>.</v>
      </c>
      <c r="K63" s="142" t="str">
        <f>IFERROR(IF(Tidstabel[[#This Row],[År]]&gt;Input_Tidshorisont,BlankTegn,
-1*INDEX(Range_Energi_ÅrligBesparelse,MATCH(Input_EksisterendeFacade,Energiberegning[Ydervæg],0),MATCH(Tidstabel[[#This Row],[Årstal]],Range_Energi_Årstal,0))),BlankTegn)</f>
        <v>.</v>
      </c>
      <c r="L63" s="142" t="str">
        <f>IF(Tidstabel[[#This Row],[År]]&gt;Input_Tidshorisont,BlankTegn,
(Tidstabel[[#This Row],[År]]+1)*(SUM(Vedligeholdelsesmaterialer[Facadefarve],Vedligeholdelsesmaterialer[Grunder og mellemmaling])/12+SUM(Vedligeholdelsesmaterialer[Puds])/30))</f>
        <v>.</v>
      </c>
      <c r="M63" s="142" t="str">
        <f>IFERROR(IF(Tidstabel[[#This Row],[År]]&gt;Input_Tidshorisont,BlankTegn,
Tidstabel[[#This Row],[Materialer_Total]]+Tidstabel[[#This Row],[Byggeprocess]]),BlankTegn)</f>
        <v>.</v>
      </c>
      <c r="N63" s="142" t="str">
        <f>IFERROR(IF(Tidstabel[[#This Row],[År]]&gt;Input_Tidshorisont,BlankTegn,
Tidstabel[[#This Row],[Energibesparelse]]+Tidstabel[[#This Row],[Emission_Brutto]]),BlankTegn)</f>
        <v>.</v>
      </c>
      <c r="O63" s="142" t="str">
        <f>IFERROR(IF(Tidstabel[[#This Row],[År]]&gt;Input_Tidshorisont,BlankTegn,
Tidstabel[[#This Row],[Emission_Netto]]-Tidstabel[[#This Row],[Vedligehold_EksisterendeFacade]]),BlankTegn)</f>
        <v>.</v>
      </c>
      <c r="P63" s="271" t="str">
        <f>IFERROR(IF(Tidstabel[[#This Row],[År]]&gt;Input_Tidshorisont,BlankTegn,
IF(AND(Tidstabel[[#This Row],[Emission_Netto]]-Tidstabel[[#This Row],[Vedligehold_EksisterendeFacade]]&gt;0,N64-L64&lt;0),-1,IF(AND(Tidstabel[[#This Row],[Emission_Netto]]-Tidstabel[[#This Row],[Vedligehold_EksisterendeFacade]]&lt;0,N64-L64&gt;0),1,0))),BlankTegn)</f>
        <v>.</v>
      </c>
      <c r="Q63" s="174" t="str">
        <f>IF(Tidstabel[[#This Row],[År]]&gt;Input_Tidshorisont,BlankTegn,
IF(Tidstabel[[#This Row],[LCA-Skæring]]=-1,SUM(Tidstabel[[#This Row],[År]]*(1-ABS(Tidstabel[[#This Row],[LCA-Difference]])/(ABS(Tidstabel[[#This Row],[LCA-Difference]])+ABS(O64))),A64*(1-ABS(O64)/(ABS(Tidstabel[[#This Row],[LCA-Difference]])+ABS(O64)))),"-"))</f>
        <v>.</v>
      </c>
      <c r="R63" s="174" t="str">
        <f>IF(Tidstabel[[#This Row],[År]]&gt;Input_Tidshorisont,BlankTegn,
IF(Tidstabel[[#This Row],[LCA-Skæring]]=-1,SUM(Tidstabel[[#This Row],[Emission_Netto]]*(1-ABS(Tidstabel[[#This Row],[LCA-Difference]])/(ABS(Tidstabel[[#This Row],[LCA-Difference]])+ABS(O64))),N64*(1-ABS(O64)/(ABS(Tidstabel[[#This Row],[LCA-Difference]])+ABS(O64)))),"-"))</f>
        <v>.</v>
      </c>
      <c r="S63" s="174" t="str">
        <f>IF(Tidstabel[[#This Row],[År]]&gt;Input_Tidshorisont,BlankTegn,
IF(Tidstabel[[#This Row],[LCA-Skæring]]=1,SUM(Tidstabel[[#This Row],[År]]*(1-ABS(Tidstabel[[#This Row],[LCA-Difference]])/(ABS(Tidstabel[[#This Row],[LCA-Difference]])+ABS(O64))),A64*(1-ABS(O64)/(ABS(Tidstabel[[#This Row],[LCA-Difference]])+ABS(O64)))),"-"))</f>
        <v>.</v>
      </c>
      <c r="T63" s="264" t="str">
        <f>IF(Tidstabel[[#This Row],[År]]&gt;Input_Tidshorisont,BlankTegn,
IF(Tidstabel[[#This Row],[LCA-Skæring]]=1,SUM(Tidstabel[[#This Row],[Emission_Netto]]*(1-ABS(Tidstabel[[#This Row],[LCA-Difference]])/(ABS(Tidstabel[[#This Row],[LCA-Difference]])+ABS(O64))),N64*(1-ABS(O64)/(ABS(Tidstabel[[#This Row],[LCA-Difference]])+ABS(O64)))),"-"))</f>
        <v>.</v>
      </c>
      <c r="U63" s="142" t="str">
        <f>IFERROR(IF(Tidstabel[[#This Row],[År]]&gt;Input_Tidshorisont,BlankTegn,
Tidstabel[[#This Row],[NPV_Klimafacade]]-Tidstabel[[#This Row],[NPV_Eksisterende]]),BlankTegn)</f>
        <v>.</v>
      </c>
      <c r="V63" s="271" t="str">
        <f>IFERROR(IF(Tidstabel[[#This Row],[År]]&gt;Input_Tidshorisont,BlankTegn,
IF(AND(Tidstabel[[#This Row],[NPV_Klimafacade]]-Tidstabel[[#This Row],[NPV_Eksisterende]]&gt;0,AB64-AA64&lt;0),1,IF(AND(Tidstabel[[#This Row],[NPV_Klimafacade]]-Tidstabel[[#This Row],[NPV_Eksisterende]]&lt;0,AB64-AA64&gt;0),-1,0))),BlankTegn)</f>
        <v>.</v>
      </c>
      <c r="W63" s="174" t="str">
        <f>IF(Tidstabel[[#This Row],[År]]&gt;Input_Tidshorisont,BlankTegn,
IF(Tidstabel[[#This Row],[LCC-Skæring]]=-1,SUM(Tidstabel[[#This Row],[År]]*(1-ABS(Tidstabel[[#This Row],[LCC-Difference]])/(ABS(Tidstabel[[#This Row],[LCC-Difference]])+ABS(U64))),A64*(1-ABS(U64)/(ABS(Tidstabel[[#This Row],[LCC-Difference]])+ABS(U64)))),"-"))</f>
        <v>.</v>
      </c>
      <c r="X63" s="174" t="str">
        <f>IF(Tidstabel[[#This Row],[År]]&gt;Input_Tidshorisont,BlankTegn,
IF(Tidstabel[[#This Row],[LCC-Skæring]]=-1,SUM(Tidstabel[[#This Row],[NPV_Klimafacade]]*(1-ABS(Tidstabel[[#This Row],[LCC-Difference]])/(ABS(Tidstabel[[#This Row],[LCC-Difference]])+ABS(U64))),AB64*(1-ABS(U64)/(ABS(Tidstabel[[#This Row],[LCC-Difference]])+ABS(U64)))),"-"))</f>
        <v>.</v>
      </c>
      <c r="Y63" s="174" t="str">
        <f>IF(Tidstabel[[#This Row],[År]]&gt;Input_Tidshorisont,BlankTegn,
IF(Tidstabel[[#This Row],[LCC-Skæring]]=1,SUM(Tidstabel[[#This Row],[År]]*(1-ABS(Tidstabel[[#This Row],[LCC-Difference]])/(ABS(Tidstabel[[#This Row],[LCC-Difference]])+ABS(U64))),A64*(1-ABS(U64)/(ABS(Tidstabel[[#This Row],[LCC-Difference]])+ABS(U64)))),"-"))</f>
        <v>.</v>
      </c>
      <c r="Z63" s="264" t="str">
        <f>IF(Tidstabel[[#This Row],[År]]&gt;Input_Tidshorisont,BlankTegn,
IF(Tidstabel[[#This Row],[LCC-Skæring]]=1,SUM(Tidstabel[[#This Row],[NPV_Klimafacade]]*(1-ABS(Tidstabel[[#This Row],[LCC-Difference]])/(ABS(Tidstabel[[#This Row],[LCC-Difference]])+ABS(U64))),AB64*(1-ABS(U64)/(ABS(Tidstabel[[#This Row],[LCC-Difference]])+ABS(U64)))),"-"))</f>
        <v>.</v>
      </c>
      <c r="AA63" s="142" t="str">
        <f>IF(Tidstabel[[#This Row],[År]]&gt;Input_Tidshorisont,BlankTegn,
Tidstabel[[#This Row],[EF_Vedligehold_Aggregeret]])</f>
        <v>.</v>
      </c>
      <c r="AB63"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63" s="142" t="str">
        <f>IFERROR(IF(Tidstabel[[#This Row],[År]]&gt;Input_Tidshorisont,BlankTegn,
Tidstabel[[#This Row],[KF_Anskaffelse_Aggregeret]]+Tidstabel[[#This Row],[KF_Engangsudgifter_Aggregeret]]),BlankTegn)</f>
        <v>.</v>
      </c>
      <c r="AD63" s="174" t="str">
        <f>IFERROR(IF(Tidstabel[[#This Row],[År]]&gt;Input_Tidshorisont,BlankTegn,
IF(Tidstabel[[#This Row],[År]]=0,0,Tidstabel[[#This Row],[NPV_Eksisterende]]*(Tidstabel[[#This Row],[Kalkulationsrente]]/(1-(1+Tidstabel[[#This Row],[Kalkulationsrente]])^-Tidstabel[[#This Row],[År]])))),BlankTegn)</f>
        <v>.</v>
      </c>
      <c r="AE63" s="264" t="str">
        <f>IFERROR(IF(Tidstabel[[#This Row],[År]]&gt;Input_Tidshorisont,BlankTegn,
IF(Tidstabel[[#This Row],[År]]=0,0,Tidstabel[[#This Row],[NPV_Klimafacade]]*(Tidstabel[[#This Row],[Kalkulationsrente]]/(1-(1+Tidstabel[[#This Row],[Kalkulationsrente]])^-Tidstabel[[#This Row],[År]])))),BlankTegn)</f>
        <v>.</v>
      </c>
      <c r="AF63" s="270" t="str">
        <f ca="1">IF(Tidstabel[[#This Row],[År]]&gt;Input_Tidshorisont,BlankTegn,
IF(EF_Vedligehold_i=1,IF(Tidstabel[[#This Row],[EF_Uds?]]=0,1,0),IF(MAX(AF62:OFFSET(AG62,2-EF_Vedligehold_i,0),Tidstabel[[#This Row],[EF_Uds?]])=0,1,0)))</f>
        <v>.</v>
      </c>
      <c r="AG63" s="181" t="str">
        <f>IF(Tidstabel[[#This Row],[År]]&gt;Input_Tidshorisont,BlankTegn,0)</f>
        <v>.</v>
      </c>
      <c r="AH63" s="263" t="str">
        <f>IF(Tidstabel[[#This Row],[År]]&gt;Input_Tidshorisont,BlankTegn,
Tidstabel[[#This Row],[EF_Ved?]]*EF_Vedligehold_p*-EF_Enhedspris*((1+Tidstabel[[#This Row],[Kalkulationsrente]])^-Tidstabel[[#This Row],[År]])*((1+PrisudviklingGenerelt)^Tidstabel[[#This Row],[År]]))</f>
        <v>.</v>
      </c>
      <c r="AI63" s="262" t="str">
        <f>IF(Tidstabel[[#This Row],[År]]&gt;Input_Tidshorisont,BlankTegn,
IF(Tidstabel[[#This Row],[År]]=0,Tidstabel[[#This Row],[EF_Vedligehold]],AI62+Tidstabel[[#This Row],[EF_Vedligehold]]))</f>
        <v>.</v>
      </c>
      <c r="AJ63" s="245" t="str">
        <f>IFERROR(IF(Tidstabel[[#This Row],[År]]&gt;Input_Tidshorisont,BlankTegn,
Tidstabel[[#This Row],[FB_Anskaffelse]]+Tidstabel[[#This Row],[VS_Anskaffelse]]+Tidstabel[[#This Row],[EI_Anskaffelse]]+Tidstabel[[#This Row],[AP_Anskaffelse]]+Tidstabel[[#This Row],[SK_Anskaffelse]]),BlankTegn)</f>
        <v>.</v>
      </c>
      <c r="AK63" s="245" t="str">
        <f>IFERROR(IF(Tidstabel[[#This Row],[År]]&gt;Input_Tidshorisont,BlankTegn,
IF(Tidstabel[[#This Row],[År]]=0,Tidstabel[[#This Row],[KF_Anskaffelse]],AK62+Tidstabel[[#This Row],[KF_Anskaffelse]])),BlankTegn)</f>
        <v>.</v>
      </c>
      <c r="AL63" s="246" t="str">
        <f>IFERROR(IF(Tidstabel[[#This Row],[År]]&gt;Input_Tidshorisont,BlankTegn,
Tidstabel[[#This Row],[FB_Vedligehold]]+Tidstabel[[#This Row],[VS_Vedligehold]]+Tidstabel[[#This Row],[EI_Vedligehold]]+Tidstabel[[#This Row],[AP_Vedligehold]]+Tidstabel[[#This Row],[SK_Vedligehold]]),BlankTegn)</f>
        <v>.</v>
      </c>
      <c r="AM63" s="245" t="str">
        <f>IFERROR(IF(Tidstabel[[#This Row],[År]]&gt;Input_Tidshorisont,BlankTegn,
IF(Tidstabel[[#This Row],[År]]=0,Tidstabel[[#This Row],[KF_Vedligehold]],AM62+Tidstabel[[#This Row],[KF_Vedligehold]])),BlankTegn)</f>
        <v>.</v>
      </c>
      <c r="AN63"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63"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63" s="245" t="str">
        <f>IFERROR(IF(Tidstabel[[#This Row],[År]]&gt;Input_Tidshorisont,BlankTegn,
IF(Tidstabel[[#This Row],[År]]=0,Tidstabel[[#This Row],[KF_Udskiftning_Komponent]],AP62+Tidstabel[[#This Row],[KF_Udskiftning_Komponent]])),BlankTegn)</f>
        <v>.</v>
      </c>
      <c r="AQ63" s="245" t="str">
        <f>IF(Tidstabel[[#This Row],[År]]&gt;Input_Tidshorisont,BlankTegn,
IF(Tidstabel[[#This Row],[År]]=0,-SUM(Engangsudgifter[Udgift]),0))</f>
        <v>.</v>
      </c>
      <c r="AR63" s="245" t="str">
        <f>IFERROR(IF(Tidstabel[[#This Row],[År]]&gt;Input_Tidshorisont,BlankTegn,
IF(Tidstabel[[#This Row],[År]]=0,Tidstabel[[#This Row],[KF_Engangsudgifter]],AR62+Tidstabel[[#This Row],[KF_Engangsudgifter]])),BlankTegn)</f>
        <v>.</v>
      </c>
      <c r="AS63" s="315" t="str">
        <f>IFERROR(IF(Tidstabel[[#This Row],[År]]&gt;Input_Tidshorisont,BlankTegn,
-Energibesparelse_Årlig),BlankTegn)</f>
        <v>.</v>
      </c>
      <c r="AT63" s="245" t="str">
        <f>IFERROR(IF(Tidstabel[[#This Row],[År]]&gt;Input_Tidshorisont,BlankTegn,
IF(Tidstabel[[#This Row],[År]]=0,0,-Tidstabel[[#This Row],[KF_Energiforbrug]]*Input_Fjernvarmepris*((1+Tidstabel[[#This Row],[Kalkulationsrente]])^-Tidstabel[[#This Row],[År]])*((1+PrisudviklingFjernvarme)^Tidstabel[[#This Row],[År]]))),BlankTegn)</f>
        <v>.</v>
      </c>
      <c r="AU63" s="262" t="str">
        <f>IFERROR(IF(Tidstabel[[#This Row],[År]]&gt;Input_Tidshorisont,BlankTegn,
IF(Tidstabel[[#This Row],[År]]=0,Tidstabel[[#This Row],[KF_Forsyning]],AU62+Tidstabel[[#This Row],[KF_Forsyning]])),BlankTegn)</f>
        <v>.</v>
      </c>
      <c r="AV63" s="245" t="str">
        <f>IFERROR(IF(Tidstabel[[#This Row],[År]]&gt;Input_Tidshorisont,BlankTegn,
IF(Tidstabel[[#This Row],[År]]=0,-FB_Enhedspris,0)),BlankTegn)</f>
        <v>.</v>
      </c>
      <c r="AW63" s="245" t="str">
        <f>IFERROR(IF(Tidstabel[[#This Row],[År]]&gt;Input_Tidshorisont,BlankTegn,
IF(Tidstabel[[#This Row],[År]]=0,FB_Enhedspris/FB_Levetid,AW62*((1+Tidstabel[[#This Row],[Kalkulationsrente]])^-1)*((1+PrisudviklingGenerelt)^1))),BlankTegn)</f>
        <v>.</v>
      </c>
      <c r="AX63" s="178" t="str">
        <f ca="1">IFERROR(IF(Tidstabel[[#This Row],[År]]&gt;Input_Tidshorisont,BlankTegn,
IF(FB_Vedligehold_i=1,IF(Tidstabel[[#This Row],[FB_Uds?]]=0,1,0),IF(MAX(AX62:OFFSET(AY62,2-FB_Vedligehold_i,0),Tidstabel[[#This Row],[FB_Uds?]])=0,1,0))),BlankTegn)</f>
        <v>.</v>
      </c>
      <c r="AY63" s="178" t="str">
        <f>IFERROR(IF(Tidstabel[[#This Row],[År]]&gt;Input_Tidshorisont,BlankTegn,
IF(Tidstabel[[#This Row],[År]]=0,1,IF(MOD(Tidstabel[[#This Row],[År]],FB_Levetid)=0,1,IF(Tidstabel[[#This Row],[År]]=Input_Tidshorisont,0,0)))),BlankTegn)</f>
        <v>.</v>
      </c>
      <c r="AZ63" s="245" t="str">
        <f>IFERROR(IF(Tidstabel[[#This Row],[År]]&gt;Input_Tidshorisont,BlankTegn,
FB_Vedligehold_p*-FB_Enhedspris*Tidstabel[[#This Row],[FB_Ved?]]*((1+Tidstabel[[#This Row],[Kalkulationsrente]])^-Tidstabel[[#This Row],[År]])*((1+PrisudviklingGenerelt)^Tidstabel[[#This Row],[År]])),BlankTegn)</f>
        <v>.</v>
      </c>
      <c r="BA63" s="245" t="str">
        <f>IFERROR(IF(Tidstabel[[#This Row],[År]]&gt;Input_Tidshorisont,BlankTegn,
IF(Tidstabel[[#This Row],[År]]=0,FB_Enhedspris,SUM(BA62:BB62)*((1+Tidstabel[[#This Row],[Kalkulationsrente]])^-1)*((1+PrisudviklingGenerelt)^1)-Tidstabel[[#This Row],[FB_Afskrivning]])),BlankTegn)</f>
        <v>.</v>
      </c>
      <c r="BB63" s="245" t="str">
        <f>IFERROR(IF(Tidstabel[[#This Row],[År]]&gt;Input_Tidshorisont,BlankTegn,
IF(Tidstabel[[#This Row],[År]]=0,0,Tidstabel[[#This Row],[FB_Uds?]]*FB_Enhedspris*((1+Tidstabel[[#This Row],[Kalkulationsrente]])^-Tidstabel[[#This Row],[År]])*((1+PrisudviklingGenerelt)^Tidstabel[[#This Row],[År]]))),BlankTegn)</f>
        <v>.</v>
      </c>
      <c r="BC63" s="262" t="str">
        <f>IFERROR(IF(Tidstabel[[#This Row],[År]]&gt;Input_Tidshorisont,BlankTegn,
IF(Tidstabel[[#This Row],[År]]=0,0,Tidstabel[[#This Row],[FB_Uds?]]*-FB_Enhedspris*FB_Genoprettelse*((1+Tidstabel[[#This Row],[Kalkulationsrente]])^-Tidstabel[[#This Row],[År]])*((1+PrisudviklingGenerelt)^Tidstabel[[#This Row],[År]]))),BlankTegn)</f>
        <v>.</v>
      </c>
      <c r="BD63" s="245" t="str">
        <f>IFERROR(IF(Tidstabel[[#This Row],[År]]&gt;Input_Tidshorisont,BlankTegn,
IF(Tidstabel[[#This Row],[År]]=0,-VS_Enhedspris,0)),BlankTegn)</f>
        <v>.</v>
      </c>
      <c r="BE63" s="245" t="str">
        <f>IFERROR(IF(Tidstabel[[#This Row],[År]]&gt;Input_Tidshorisont,BlankTegn,
IF(Tidstabel[[#This Row],[År]]=0,VS_Enhedspris/VS_Levetid,BE62*((1+Tidstabel[[#This Row],[Kalkulationsrente]])^-1)*((1+PrisudviklingGenerelt)^1))),BlankTegn)</f>
        <v>.</v>
      </c>
      <c r="BF63" s="178" t="str">
        <f ca="1">IFERROR(IF(Tidstabel[[#This Row],[År]]&gt;Input_Tidshorisont,BlankTegn,
IF(VS_Vedligehold_i=1,IF(Tidstabel[[#This Row],[VS_Uds?]]=0,1,0),IF(MAX(BF62:OFFSET(BG62,2-VS_Vedligehold_i,0),Tidstabel[[#This Row],[VS_Uds?]])=0,1,0))),BlankTegn)</f>
        <v>.</v>
      </c>
      <c r="BG63" s="178" t="str">
        <f>IFERROR(IF(Tidstabel[[#This Row],[År]]&gt;Input_Tidshorisont,BlankTegn,
IF(Tidstabel[[#This Row],[År]]=0,1,IF(MOD(Tidstabel[[#This Row],[År]],VS_Levetid)=0,1,IF(Tidstabel[[#This Row],[År]]=Input_Tidshorisont,0,0)))),BlankTegn)</f>
        <v>.</v>
      </c>
      <c r="BH63" s="245" t="str">
        <f>IFERROR(IF(Tidstabel[[#This Row],[År]]&gt;Input_Tidshorisont,BlankTegn,
VS_Vedligehold_p*-VS_Enhedspris*Tidstabel[[#This Row],[VS_Ved?]]*((1+Tidstabel[[#This Row],[Kalkulationsrente]])^-Tidstabel[[#This Row],[År]])*((1+PrisudviklingGenerelt)^Tidstabel[[#This Row],[År]])),BlankTegn)</f>
        <v>.</v>
      </c>
      <c r="BI63" s="245" t="str">
        <f>IFERROR(IF(Tidstabel[[#This Row],[År]]&gt;Input_Tidshorisont,BlankTegn,
IF(Tidstabel[[#This Row],[År]]=0,VS_Enhedspris,SUM(BI62:BJ62)*((1+Tidstabel[[#This Row],[Kalkulationsrente]])^-1)*((1+PrisudviklingGenerelt)^1)-Tidstabel[[#This Row],[VS_Afskrivning]])),BlankTegn)</f>
        <v>.</v>
      </c>
      <c r="BJ63" s="245" t="str">
        <f>IFERROR(IF(Tidstabel[[#This Row],[År]]&gt;Input_Tidshorisont,BlankTegn,
IF(Tidstabel[[#This Row],[År]]=0,0,Tidstabel[[#This Row],[VS_Uds?]]*VS_Enhedspris*((1+Tidstabel[[#This Row],[Kalkulationsrente]])^-Tidstabel[[#This Row],[År]])*((1+PrisudviklingGenerelt)^Tidstabel[[#This Row],[År]]))),BlankTegn)</f>
        <v>.</v>
      </c>
      <c r="BK63" s="262" t="str">
        <f>IFERROR(IF(Tidstabel[[#This Row],[År]]&gt;Input_Tidshorisont,BlankTegn,
IF(Tidstabel[[#This Row],[År]]=0,0,Tidstabel[[#This Row],[VS_Uds?]]*-VS_Enhedspris*VS_Genoprettelse*((1+Tidstabel[[#This Row],[Kalkulationsrente]])^-Tidstabel[[#This Row],[År]])*((1+PrisudviklingGenerelt)^Tidstabel[[#This Row],[År]]))),BlankTegn)</f>
        <v>.</v>
      </c>
      <c r="BL63" s="245" t="str">
        <f>IFERROR(IF(Tidstabel[[#This Row],[År]]&gt;Input_Tidshorisont,BlankTegn,
IF(Tidstabel[[#This Row],[År]]=0,-EI_Enhedspris,0)),BlankTegn)</f>
        <v>.</v>
      </c>
      <c r="BM63" s="245" t="str">
        <f>IFERROR(IF(Tidstabel[[#This Row],[År]]&gt;Input_Tidshorisont,BlankTegn,
IF(Tidstabel[[#This Row],[År]]=0,EI_Enhedspris/EI_Levetid,BM62*((1+Tidstabel[[#This Row],[Kalkulationsrente]])^-1)*((1+PrisudviklingGenerelt)^1))),BlankTegn)</f>
        <v>.</v>
      </c>
      <c r="BN63" s="178" t="str">
        <f ca="1">IFERROR(IF(Tidstabel[[#This Row],[År]]&gt;Input_Tidshorisont,BlankTegn,
IF(EI_Vedligehold_i=1,IF(Tidstabel[[#This Row],[EI_Uds?]]=0,1,0),IF(MAX(BN62:OFFSET(BO62,2-EI_Vedligehold_i,0),Tidstabel[[#This Row],[EI_Uds?]])=0,1,0))),BlankTegn)</f>
        <v>.</v>
      </c>
      <c r="BO63" s="178" t="str">
        <f>IFERROR(IF(Tidstabel[[#This Row],[År]]&gt;Input_Tidshorisont,BlankTegn,
IF(Tidstabel[[#This Row],[År]]=0,1,IF(MOD(Tidstabel[[#This Row],[År]],EI_Levetid)=0,1,IF(Tidstabel[[#This Row],[År]]=Input_Tidshorisont,0,0)))),BlankTegn)</f>
        <v>.</v>
      </c>
      <c r="BP63" s="245" t="str">
        <f>IFERROR(IF(Tidstabel[[#This Row],[År]]&gt;Input_Tidshorisont,BlankTegn,
EI_Vedligehold_p*-EI_Enhedspris*Tidstabel[[#This Row],[EI_Ved?]]*((1+Tidstabel[[#This Row],[Kalkulationsrente]])^-Tidstabel[[#This Row],[År]])*((1+PrisudviklingGenerelt)^Tidstabel[[#This Row],[År]])),BlankTegn)</f>
        <v>.</v>
      </c>
      <c r="BQ63" s="245" t="str">
        <f>IFERROR(IF(Tidstabel[[#This Row],[År]]&gt;Input_Tidshorisont,BlankTegn,
IF(Tidstabel[[#This Row],[År]]=0,EI_Enhedspris,SUM(BQ62:BR62)*((1+Tidstabel[[#This Row],[Kalkulationsrente]])^-1)*((1+PrisudviklingGenerelt)^1)-Tidstabel[[#This Row],[EI_Afskrivning]])),BlankTegn)</f>
        <v>.</v>
      </c>
      <c r="BR63" s="245" t="str">
        <f>IFERROR(IF(Tidstabel[[#This Row],[År]]&gt;Input_Tidshorisont,BlankTegn,
IF(Tidstabel[[#This Row],[År]]=0,0,Tidstabel[[#This Row],[EI_Uds?]]*EI_Enhedspris*((1+Tidstabel[[#This Row],[Kalkulationsrente]])^-Tidstabel[[#This Row],[År]])*((1+PrisudviklingGenerelt)^Tidstabel[[#This Row],[År]]))),BlankTegn)</f>
        <v>.</v>
      </c>
      <c r="BS63" s="262" t="str">
        <f>IFERROR(IF(Tidstabel[[#This Row],[År]]&gt;Input_Tidshorisont,BlankTegn,
IF(Tidstabel[[#This Row],[År]]=0,0,Tidstabel[[#This Row],[EI_Uds?]]*-EI_Enhedspris*EI_Genoprettelse*((1+Tidstabel[[#This Row],[Kalkulationsrente]])^-Tidstabel[[#This Row],[År]])*((1+PrisudviklingGenerelt)^Tidstabel[[#This Row],[År]]))),BlankTegn)</f>
        <v>.</v>
      </c>
      <c r="BT63" s="245" t="str">
        <f>IFERROR(IF(Tidstabel[[#This Row],[År]]&gt;Input_Tidshorisont,BlankTegn,
IF(Tidstabel[[#This Row],[År]]=0,-AP_Enhedspris,0)),BlankTegn)</f>
        <v>.</v>
      </c>
      <c r="BU63" s="245" t="str">
        <f>IFERROR(IF(Tidstabel[[#This Row],[År]]&gt;Input_Tidshorisont,BlankTegn,
IF(Tidstabel[[#This Row],[År]]=0,AP_Enhedspris/AP_Levetid,BU62*((1+Tidstabel[[#This Row],[Kalkulationsrente]])^-1)*((1+PrisudviklingGenerelt)^1))),BlankTegn)</f>
        <v>.</v>
      </c>
      <c r="BV63" s="178" t="str">
        <f ca="1">IFERROR(IF(Tidstabel[[#This Row],[År]]&gt;Input_Tidshorisont,BlankTegn,
IF(AP_Vedligehold_i=1,IF(Tidstabel[[#This Row],[AP_Uds?]]=0,1,0),IF(MAX(BV62:OFFSET(BW62,2-AP_Vedligehold_i,0),Tidstabel[[#This Row],[AP_Uds?]])=0,1,0))),BlankTegn)</f>
        <v>.</v>
      </c>
      <c r="BW63" s="178" t="str">
        <f>IFERROR(IF(Tidstabel[[#This Row],[År]]&gt;Input_Tidshorisont,BlankTegn,
IF(Tidstabel[[#This Row],[År]]=0,1,IF(MOD(Tidstabel[[#This Row],[År]],AP_Levetid)=0,1,IF(Tidstabel[[#This Row],[År]]=Input_Tidshorisont,0,0)))),BlankTegn)</f>
        <v>.</v>
      </c>
      <c r="BX63" s="245" t="str">
        <f>IFERROR(IF(Tidstabel[[#This Row],[År]]&gt;Input_Tidshorisont,BlankTegn,
AP_Vedligehold_p*-AP_Enhedspris*Tidstabel[[#This Row],[AP_Ved?]]*((1+Tidstabel[[#This Row],[Kalkulationsrente]])^-Tidstabel[[#This Row],[År]])*((1+PrisudviklingGenerelt)^Tidstabel[[#This Row],[År]])),BlankTegn)</f>
        <v>.</v>
      </c>
      <c r="BY63" s="245" t="str">
        <f>IFERROR(IF(Tidstabel[[#This Row],[År]]&gt;Input_Tidshorisont,BlankTegn,
IF(Tidstabel[[#This Row],[År]]=0,AP_Enhedspris,SUM(BY62:BZ62)*((1+Tidstabel[[#This Row],[Kalkulationsrente]])^-1)*((1+PrisudviklingGenerelt)^1)-Tidstabel[[#This Row],[AP_Afskrivning]])),BlankTegn)</f>
        <v>.</v>
      </c>
      <c r="BZ63" s="245" t="str">
        <f>IFERROR(IF(Tidstabel[[#This Row],[År]]&gt;Input_Tidshorisont,BlankTegn,
IF(Tidstabel[[#This Row],[År]]=0,0,Tidstabel[[#This Row],[AP_Uds?]]*AP_Enhedspris*((1+Tidstabel[[#This Row],[Kalkulationsrente]])^-Tidstabel[[#This Row],[År]])*((1+PrisudviklingGenerelt)^Tidstabel[[#This Row],[År]]))),BlankTegn)</f>
        <v>.</v>
      </c>
      <c r="CA63" s="262" t="str">
        <f>IFERROR(IF(Tidstabel[[#This Row],[År]]&gt;Input_Tidshorisont,BlankTegn,
IF(Tidstabel[[#This Row],[År]]=0,0,Tidstabel[[#This Row],[AP_Uds?]]*-AP_Enhedspris*AP_Genoprettelse*((1+Tidstabel[[#This Row],[Kalkulationsrente]])^-Tidstabel[[#This Row],[År]])*((1+PrisudviklingGenerelt)^Tidstabel[[#This Row],[År]]))),BlankTegn)</f>
        <v>.</v>
      </c>
      <c r="CB63" s="245" t="str">
        <f>IFERROR(IF(Tidstabel[[#This Row],[År]]&gt;Input_Tidshorisont,BlankTegn,
IF(Tidstabel[[#This Row],[År]]=0,-SK_Enhedspris,0)),BlankTegn)</f>
        <v>.</v>
      </c>
      <c r="CC63" s="245" t="str">
        <f>IFERROR(IF(Tidstabel[[#This Row],[År]]&gt;Input_Tidshorisont,BlankTegn,
IF(Tidstabel[[#This Row],[År]]=0,SK_Enhedspris/SK_Levetid,CC62*((1+Tidstabel[[#This Row],[Kalkulationsrente]])^-1)*((1+PrisudviklingGenerelt)^1))),BlankTegn)</f>
        <v>.</v>
      </c>
      <c r="CD63" s="178" t="str">
        <f ca="1">IFERROR(IF(Tidstabel[[#This Row],[År]]&gt;Input_Tidshorisont,BlankTegn,
IF(SK_Vedligehold_i=1,IF(Tidstabel[[#This Row],[SK_Uds?]]=0,1,0),IF(MAX(CD62:OFFSET(CE62,2-SK_Vedligehold_i,0),Tidstabel[[#This Row],[SK_Uds?]])=0,1,0))),BlankTegn)</f>
        <v>.</v>
      </c>
      <c r="CE63" s="178" t="str">
        <f>IFERROR(IF(Tidstabel[[#This Row],[År]]&gt;Input_Tidshorisont,BlankTegn,
IF(Tidstabel[[#This Row],[År]]=0,1,IF(MOD(Tidstabel[[#This Row],[År]],SK_Levetid)=0,1,IF(Tidstabel[[#This Row],[År]]=Input_Tidshorisont,0,0)))),BlankTegn)</f>
        <v>.</v>
      </c>
      <c r="CF63" s="245" t="str">
        <f>IFERROR(IF(Tidstabel[[#This Row],[År]]&gt;Input_Tidshorisont,BlankTegn,
SK_Vedligehold_p*-SK_Enhedspris*Tidstabel[[#This Row],[SK_Ved?]]*((1+Tidstabel[[#This Row],[Kalkulationsrente]])^-Tidstabel[[#This Row],[År]])*((1+PrisudviklingGenerelt)^Tidstabel[[#This Row],[År]])),BlankTegn)</f>
        <v>.</v>
      </c>
      <c r="CG63" s="245" t="str">
        <f>IFERROR(IF(Tidstabel[[#This Row],[År]]&gt;Input_Tidshorisont,BlankTegn,
IF(Tidstabel[[#This Row],[År]]=0,SK_Enhedspris,SUM(CG62:CH62)*((1+Tidstabel[[#This Row],[Kalkulationsrente]])^-1)*((1+PrisudviklingGenerelt)^1)-Tidstabel[[#This Row],[SK_Afskrivning]])),BlankTegn)</f>
        <v>.</v>
      </c>
      <c r="CH63" s="245" t="str">
        <f>IFERROR(IF(Tidstabel[[#This Row],[År]]&gt;Input_Tidshorisont,BlankTegn,
IF(Tidstabel[[#This Row],[År]]=0,0,Tidstabel[[#This Row],[SK_Uds?]]*SK_Enhedspris*((1+Tidstabel[[#This Row],[Kalkulationsrente]])^-Tidstabel[[#This Row],[År]])*((1+PrisudviklingGenerelt)^Tidstabel[[#This Row],[År]]))),BlankTegn)</f>
        <v>.</v>
      </c>
      <c r="CI63" s="262" t="str">
        <f>IFERROR(IF(Tidstabel[[#This Row],[År]]&gt;Input_Tidshorisont,BlankTegn,
IF(Tidstabel[[#This Row],[År]]=0,0,Tidstabel[[#This Row],[SK_Uds?]]*-SK_Enhedspris*SK_Genoprettelse*((1+Tidstabel[[#This Row],[Kalkulationsrente]])^-Tidstabel[[#This Row],[År]])*((1+PrisudviklingGenerelt)^Tidstabel[[#This Row],[År]]))),BlankTegn)</f>
        <v>.</v>
      </c>
      <c r="CJ63" s="19"/>
    </row>
    <row r="64" spans="1:88">
      <c r="A64" s="250">
        <v>57</v>
      </c>
      <c r="B64" s="250">
        <f>Input_Etableringsår+Tidstabel[[#This Row],[År]]</f>
        <v>2081</v>
      </c>
      <c r="C64" s="274" cm="1">
        <f t="array" ref="C64">_xlfn.IFS(Tidstabel[[#This Row],[År]]&gt;KR_Trin3_Tærskel,KR_Trin3_Rente,Tidstabel[[#This Row],[År]]&gt;KR_Trin2_Tærskel,KR_Trin2_Rente,Tidstabel[[#This Row],[År]]&gt;KR_Trin1_Tærskel,KR_Trin1_Rente,Tidstabel[[#This Row],[År]]&gt;KR_Trin0_Tærskel,KR_Trin0_Rente)</f>
        <v>2.5000000000000001E-2</v>
      </c>
      <c r="D64" s="142" t="str" cm="1">
        <f t="array" ref="D64">IFERROR(
INDEX(Range_Materiale_ÅrligeEmissioner,MATCH(1,(Materialedata[Komponent]=FB_Titel)*(Materialedata[Materiale]=FB_Materiale),0),MATCH(Tidstabel[[#This Row],[År]],Range_Materiale_År,0)),BlankTegn)</f>
        <v>.</v>
      </c>
      <c r="E64" s="142" t="str" cm="1">
        <f t="array" ref="E64">IFERROR(
INDEX(Range_Materiale_ÅrligeEmissioner,MATCH(1,(Materialedata[Komponent]=SK_Titel)*(Materialedata[Materiale]=SK_Materiale),0),MATCH(Tidstabel[[#This Row],[År]],Range_Materiale_År,0)),BlankTegn)</f>
        <v>.</v>
      </c>
      <c r="F64" s="142" t="str" cm="1">
        <f t="array" ref="F64">IFERROR(
INDEX(Range_Materiale_ÅrligeEmissioner,MATCH(1,(Materialedata[Komponent]=EI_Titel)*(Materialedata[Materiale]=EI_Materiale),0),MATCH(Tidstabel[[#This Row],[År]],Range_Materiale_År,0)),BlankTegn)</f>
        <v>.</v>
      </c>
      <c r="G64" s="142" t="str" cm="1">
        <f t="array" ref="G64">IFERROR(
INDEX(Range_Materiale_ÅrligeEmissioner,MATCH(1,(Materialedata[Komponent]=AP_Titel)*(Materialedata[Materiale]=AP_Materiale),0),MATCH(Tidstabel[[#This Row],[År]],Range_Materiale_År,0)),BlankTegn)</f>
        <v>.</v>
      </c>
      <c r="H64" s="142" t="str" cm="1">
        <f t="array" ref="H64">IFERROR(
INDEX(Range_Materiale_ÅrligeEmissioner,MATCH(1,(Materialedata[Komponent]=VS_Titel)*(Materialedata[Materiale]=VS_Materiale),0),MATCH(Tidstabel[[#This Row],[År]],Range_Materiale_År,0)),BlankTegn)</f>
        <v>.</v>
      </c>
      <c r="I64" s="142" t="str">
        <f>IFERROR(
IF(SUM(Tidstabel[[#This Row],[Facadebeklædning]:[Vindspærre]])=0,BlankTegn,
SUM(Tidstabel[[#This Row],[Facadebeklædning]:[Vindspærre]])),BlankTegn)</f>
        <v>.</v>
      </c>
      <c r="J64" s="139" t="str">
        <f>IF(Tidstabel[[#This Row],[År]]&gt;Input_Tidshorisont,BlankTegn,
A5_ElVarmeBrændstofByggeplads)</f>
        <v>.</v>
      </c>
      <c r="K64" s="142" t="str">
        <f>IFERROR(IF(Tidstabel[[#This Row],[År]]&gt;Input_Tidshorisont,BlankTegn,
-1*INDEX(Range_Energi_ÅrligBesparelse,MATCH(Input_EksisterendeFacade,Energiberegning[Ydervæg],0),MATCH(Tidstabel[[#This Row],[Årstal]],Range_Energi_Årstal,0))),BlankTegn)</f>
        <v>.</v>
      </c>
      <c r="L64" s="142" t="str">
        <f>IF(Tidstabel[[#This Row],[År]]&gt;Input_Tidshorisont,BlankTegn,
(Tidstabel[[#This Row],[År]]+1)*(SUM(Vedligeholdelsesmaterialer[Facadefarve],Vedligeholdelsesmaterialer[Grunder og mellemmaling])/12+SUM(Vedligeholdelsesmaterialer[Puds])/30))</f>
        <v>.</v>
      </c>
      <c r="M64" s="142" t="str">
        <f>IFERROR(IF(Tidstabel[[#This Row],[År]]&gt;Input_Tidshorisont,BlankTegn,
Tidstabel[[#This Row],[Materialer_Total]]+Tidstabel[[#This Row],[Byggeprocess]]),BlankTegn)</f>
        <v>.</v>
      </c>
      <c r="N64" s="142" t="str">
        <f>IFERROR(IF(Tidstabel[[#This Row],[År]]&gt;Input_Tidshorisont,BlankTegn,
Tidstabel[[#This Row],[Energibesparelse]]+Tidstabel[[#This Row],[Emission_Brutto]]),BlankTegn)</f>
        <v>.</v>
      </c>
      <c r="O64" s="142" t="str">
        <f>IFERROR(IF(Tidstabel[[#This Row],[År]]&gt;Input_Tidshorisont,BlankTegn,
Tidstabel[[#This Row],[Emission_Netto]]-Tidstabel[[#This Row],[Vedligehold_EksisterendeFacade]]),BlankTegn)</f>
        <v>.</v>
      </c>
      <c r="P64" s="271" t="str">
        <f>IFERROR(IF(Tidstabel[[#This Row],[År]]&gt;Input_Tidshorisont,BlankTegn,
IF(AND(Tidstabel[[#This Row],[Emission_Netto]]-Tidstabel[[#This Row],[Vedligehold_EksisterendeFacade]]&gt;0,N65-L65&lt;0),-1,IF(AND(Tidstabel[[#This Row],[Emission_Netto]]-Tidstabel[[#This Row],[Vedligehold_EksisterendeFacade]]&lt;0,N65-L65&gt;0),1,0))),BlankTegn)</f>
        <v>.</v>
      </c>
      <c r="Q64" s="174" t="str">
        <f>IF(Tidstabel[[#This Row],[År]]&gt;Input_Tidshorisont,BlankTegn,
IF(Tidstabel[[#This Row],[LCA-Skæring]]=-1,SUM(Tidstabel[[#This Row],[År]]*(1-ABS(Tidstabel[[#This Row],[LCA-Difference]])/(ABS(Tidstabel[[#This Row],[LCA-Difference]])+ABS(O65))),A65*(1-ABS(O65)/(ABS(Tidstabel[[#This Row],[LCA-Difference]])+ABS(O65)))),"-"))</f>
        <v>.</v>
      </c>
      <c r="R64" s="174" t="str">
        <f>IF(Tidstabel[[#This Row],[År]]&gt;Input_Tidshorisont,BlankTegn,
IF(Tidstabel[[#This Row],[LCA-Skæring]]=-1,SUM(Tidstabel[[#This Row],[Emission_Netto]]*(1-ABS(Tidstabel[[#This Row],[LCA-Difference]])/(ABS(Tidstabel[[#This Row],[LCA-Difference]])+ABS(O65))),N65*(1-ABS(O65)/(ABS(Tidstabel[[#This Row],[LCA-Difference]])+ABS(O65)))),"-"))</f>
        <v>.</v>
      </c>
      <c r="S64" s="174" t="str">
        <f>IF(Tidstabel[[#This Row],[År]]&gt;Input_Tidshorisont,BlankTegn,
IF(Tidstabel[[#This Row],[LCA-Skæring]]=1,SUM(Tidstabel[[#This Row],[År]]*(1-ABS(Tidstabel[[#This Row],[LCA-Difference]])/(ABS(Tidstabel[[#This Row],[LCA-Difference]])+ABS(O65))),A65*(1-ABS(O65)/(ABS(Tidstabel[[#This Row],[LCA-Difference]])+ABS(O65)))),"-"))</f>
        <v>.</v>
      </c>
      <c r="T64" s="264" t="str">
        <f>IF(Tidstabel[[#This Row],[År]]&gt;Input_Tidshorisont,BlankTegn,
IF(Tidstabel[[#This Row],[LCA-Skæring]]=1,SUM(Tidstabel[[#This Row],[Emission_Netto]]*(1-ABS(Tidstabel[[#This Row],[LCA-Difference]])/(ABS(Tidstabel[[#This Row],[LCA-Difference]])+ABS(O65))),N65*(1-ABS(O65)/(ABS(Tidstabel[[#This Row],[LCA-Difference]])+ABS(O65)))),"-"))</f>
        <v>.</v>
      </c>
      <c r="U64" s="142" t="str">
        <f>IFERROR(IF(Tidstabel[[#This Row],[År]]&gt;Input_Tidshorisont,BlankTegn,
Tidstabel[[#This Row],[NPV_Klimafacade]]-Tidstabel[[#This Row],[NPV_Eksisterende]]),BlankTegn)</f>
        <v>.</v>
      </c>
      <c r="V64" s="271" t="str">
        <f>IFERROR(IF(Tidstabel[[#This Row],[År]]&gt;Input_Tidshorisont,BlankTegn,
IF(AND(Tidstabel[[#This Row],[NPV_Klimafacade]]-Tidstabel[[#This Row],[NPV_Eksisterende]]&gt;0,AB65-AA65&lt;0),1,IF(AND(Tidstabel[[#This Row],[NPV_Klimafacade]]-Tidstabel[[#This Row],[NPV_Eksisterende]]&lt;0,AB65-AA65&gt;0),-1,0))),BlankTegn)</f>
        <v>.</v>
      </c>
      <c r="W64" s="174" t="str">
        <f>IF(Tidstabel[[#This Row],[År]]&gt;Input_Tidshorisont,BlankTegn,
IF(Tidstabel[[#This Row],[LCC-Skæring]]=-1,SUM(Tidstabel[[#This Row],[År]]*(1-ABS(Tidstabel[[#This Row],[LCC-Difference]])/(ABS(Tidstabel[[#This Row],[LCC-Difference]])+ABS(U65))),A65*(1-ABS(U65)/(ABS(Tidstabel[[#This Row],[LCC-Difference]])+ABS(U65)))),"-"))</f>
        <v>.</v>
      </c>
      <c r="X64" s="174" t="str">
        <f>IF(Tidstabel[[#This Row],[År]]&gt;Input_Tidshorisont,BlankTegn,
IF(Tidstabel[[#This Row],[LCC-Skæring]]=-1,SUM(Tidstabel[[#This Row],[NPV_Klimafacade]]*(1-ABS(Tidstabel[[#This Row],[LCC-Difference]])/(ABS(Tidstabel[[#This Row],[LCC-Difference]])+ABS(U65))),AB65*(1-ABS(U65)/(ABS(Tidstabel[[#This Row],[LCC-Difference]])+ABS(U65)))),"-"))</f>
        <v>.</v>
      </c>
      <c r="Y64" s="174" t="str">
        <f>IF(Tidstabel[[#This Row],[År]]&gt;Input_Tidshorisont,BlankTegn,
IF(Tidstabel[[#This Row],[LCC-Skæring]]=1,SUM(Tidstabel[[#This Row],[År]]*(1-ABS(Tidstabel[[#This Row],[LCC-Difference]])/(ABS(Tidstabel[[#This Row],[LCC-Difference]])+ABS(U65))),A65*(1-ABS(U65)/(ABS(Tidstabel[[#This Row],[LCC-Difference]])+ABS(U65)))),"-"))</f>
        <v>.</v>
      </c>
      <c r="Z64" s="264" t="str">
        <f>IF(Tidstabel[[#This Row],[År]]&gt;Input_Tidshorisont,BlankTegn,
IF(Tidstabel[[#This Row],[LCC-Skæring]]=1,SUM(Tidstabel[[#This Row],[NPV_Klimafacade]]*(1-ABS(Tidstabel[[#This Row],[LCC-Difference]])/(ABS(Tidstabel[[#This Row],[LCC-Difference]])+ABS(U65))),AB65*(1-ABS(U65)/(ABS(Tidstabel[[#This Row],[LCC-Difference]])+ABS(U65)))),"-"))</f>
        <v>.</v>
      </c>
      <c r="AA64" s="142" t="str">
        <f>IF(Tidstabel[[#This Row],[År]]&gt;Input_Tidshorisont,BlankTegn,
Tidstabel[[#This Row],[EF_Vedligehold_Aggregeret]])</f>
        <v>.</v>
      </c>
      <c r="AB64"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64" s="142" t="str">
        <f>IFERROR(IF(Tidstabel[[#This Row],[År]]&gt;Input_Tidshorisont,BlankTegn,
Tidstabel[[#This Row],[KF_Anskaffelse_Aggregeret]]+Tidstabel[[#This Row],[KF_Engangsudgifter_Aggregeret]]),BlankTegn)</f>
        <v>.</v>
      </c>
      <c r="AD64" s="174" t="str">
        <f>IFERROR(IF(Tidstabel[[#This Row],[År]]&gt;Input_Tidshorisont,BlankTegn,
IF(Tidstabel[[#This Row],[År]]=0,0,Tidstabel[[#This Row],[NPV_Eksisterende]]*(Tidstabel[[#This Row],[Kalkulationsrente]]/(1-(1+Tidstabel[[#This Row],[Kalkulationsrente]])^-Tidstabel[[#This Row],[År]])))),BlankTegn)</f>
        <v>.</v>
      </c>
      <c r="AE64" s="264" t="str">
        <f>IFERROR(IF(Tidstabel[[#This Row],[År]]&gt;Input_Tidshorisont,BlankTegn,
IF(Tidstabel[[#This Row],[År]]=0,0,Tidstabel[[#This Row],[NPV_Klimafacade]]*(Tidstabel[[#This Row],[Kalkulationsrente]]/(1-(1+Tidstabel[[#This Row],[Kalkulationsrente]])^-Tidstabel[[#This Row],[År]])))),BlankTegn)</f>
        <v>.</v>
      </c>
      <c r="AF64" s="270" t="str">
        <f ca="1">IF(Tidstabel[[#This Row],[År]]&gt;Input_Tidshorisont,BlankTegn,
IF(EF_Vedligehold_i=1,IF(Tidstabel[[#This Row],[EF_Uds?]]=0,1,0),IF(MAX(AF63:OFFSET(AG63,2-EF_Vedligehold_i,0),Tidstabel[[#This Row],[EF_Uds?]])=0,1,0)))</f>
        <v>.</v>
      </c>
      <c r="AG64" s="181" t="str">
        <f>IF(Tidstabel[[#This Row],[År]]&gt;Input_Tidshorisont,BlankTegn,0)</f>
        <v>.</v>
      </c>
      <c r="AH64" s="263" t="str">
        <f>IF(Tidstabel[[#This Row],[År]]&gt;Input_Tidshorisont,BlankTegn,
Tidstabel[[#This Row],[EF_Ved?]]*EF_Vedligehold_p*-EF_Enhedspris*((1+Tidstabel[[#This Row],[Kalkulationsrente]])^-Tidstabel[[#This Row],[År]])*((1+PrisudviklingGenerelt)^Tidstabel[[#This Row],[År]]))</f>
        <v>.</v>
      </c>
      <c r="AI64" s="262" t="str">
        <f>IF(Tidstabel[[#This Row],[År]]&gt;Input_Tidshorisont,BlankTegn,
IF(Tidstabel[[#This Row],[År]]=0,Tidstabel[[#This Row],[EF_Vedligehold]],AI63+Tidstabel[[#This Row],[EF_Vedligehold]]))</f>
        <v>.</v>
      </c>
      <c r="AJ64" s="245" t="str">
        <f>IFERROR(IF(Tidstabel[[#This Row],[År]]&gt;Input_Tidshorisont,BlankTegn,
Tidstabel[[#This Row],[FB_Anskaffelse]]+Tidstabel[[#This Row],[VS_Anskaffelse]]+Tidstabel[[#This Row],[EI_Anskaffelse]]+Tidstabel[[#This Row],[AP_Anskaffelse]]+Tidstabel[[#This Row],[SK_Anskaffelse]]),BlankTegn)</f>
        <v>.</v>
      </c>
      <c r="AK64" s="245" t="str">
        <f>IFERROR(IF(Tidstabel[[#This Row],[År]]&gt;Input_Tidshorisont,BlankTegn,
IF(Tidstabel[[#This Row],[År]]=0,Tidstabel[[#This Row],[KF_Anskaffelse]],AK63+Tidstabel[[#This Row],[KF_Anskaffelse]])),BlankTegn)</f>
        <v>.</v>
      </c>
      <c r="AL64" s="246" t="str">
        <f>IFERROR(IF(Tidstabel[[#This Row],[År]]&gt;Input_Tidshorisont,BlankTegn,
Tidstabel[[#This Row],[FB_Vedligehold]]+Tidstabel[[#This Row],[VS_Vedligehold]]+Tidstabel[[#This Row],[EI_Vedligehold]]+Tidstabel[[#This Row],[AP_Vedligehold]]+Tidstabel[[#This Row],[SK_Vedligehold]]),BlankTegn)</f>
        <v>.</v>
      </c>
      <c r="AM64" s="245" t="str">
        <f>IFERROR(IF(Tidstabel[[#This Row],[År]]&gt;Input_Tidshorisont,BlankTegn,
IF(Tidstabel[[#This Row],[År]]=0,Tidstabel[[#This Row],[KF_Vedligehold]],AM63+Tidstabel[[#This Row],[KF_Vedligehold]])),BlankTegn)</f>
        <v>.</v>
      </c>
      <c r="AN64"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64"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64" s="245" t="str">
        <f>IFERROR(IF(Tidstabel[[#This Row],[År]]&gt;Input_Tidshorisont,BlankTegn,
IF(Tidstabel[[#This Row],[År]]=0,Tidstabel[[#This Row],[KF_Udskiftning_Komponent]],AP63+Tidstabel[[#This Row],[KF_Udskiftning_Komponent]])),BlankTegn)</f>
        <v>.</v>
      </c>
      <c r="AQ64" s="245" t="str">
        <f>IF(Tidstabel[[#This Row],[År]]&gt;Input_Tidshorisont,BlankTegn,
IF(Tidstabel[[#This Row],[År]]=0,-SUM(Engangsudgifter[Udgift]),0))</f>
        <v>.</v>
      </c>
      <c r="AR64" s="245" t="str">
        <f>IFERROR(IF(Tidstabel[[#This Row],[År]]&gt;Input_Tidshorisont,BlankTegn,
IF(Tidstabel[[#This Row],[År]]=0,Tidstabel[[#This Row],[KF_Engangsudgifter]],AR63+Tidstabel[[#This Row],[KF_Engangsudgifter]])),BlankTegn)</f>
        <v>.</v>
      </c>
      <c r="AS64" s="315" t="str">
        <f>IFERROR(IF(Tidstabel[[#This Row],[År]]&gt;Input_Tidshorisont,BlankTegn,
-Energibesparelse_Årlig),BlankTegn)</f>
        <v>.</v>
      </c>
      <c r="AT64" s="245" t="str">
        <f>IFERROR(IF(Tidstabel[[#This Row],[År]]&gt;Input_Tidshorisont,BlankTegn,
IF(Tidstabel[[#This Row],[År]]=0,0,-Tidstabel[[#This Row],[KF_Energiforbrug]]*Input_Fjernvarmepris*((1+Tidstabel[[#This Row],[Kalkulationsrente]])^-Tidstabel[[#This Row],[År]])*((1+PrisudviklingFjernvarme)^Tidstabel[[#This Row],[År]]))),BlankTegn)</f>
        <v>.</v>
      </c>
      <c r="AU64" s="262" t="str">
        <f>IFERROR(IF(Tidstabel[[#This Row],[År]]&gt;Input_Tidshorisont,BlankTegn,
IF(Tidstabel[[#This Row],[År]]=0,Tidstabel[[#This Row],[KF_Forsyning]],AU63+Tidstabel[[#This Row],[KF_Forsyning]])),BlankTegn)</f>
        <v>.</v>
      </c>
      <c r="AV64" s="245" t="str">
        <f>IFERROR(IF(Tidstabel[[#This Row],[År]]&gt;Input_Tidshorisont,BlankTegn,
IF(Tidstabel[[#This Row],[År]]=0,-FB_Enhedspris,0)),BlankTegn)</f>
        <v>.</v>
      </c>
      <c r="AW64" s="245" t="str">
        <f>IFERROR(IF(Tidstabel[[#This Row],[År]]&gt;Input_Tidshorisont,BlankTegn,
IF(Tidstabel[[#This Row],[År]]=0,FB_Enhedspris/FB_Levetid,AW63*((1+Tidstabel[[#This Row],[Kalkulationsrente]])^-1)*((1+PrisudviklingGenerelt)^1))),BlankTegn)</f>
        <v>.</v>
      </c>
      <c r="AX64" s="178" t="str">
        <f ca="1">IFERROR(IF(Tidstabel[[#This Row],[År]]&gt;Input_Tidshorisont,BlankTegn,
IF(FB_Vedligehold_i=1,IF(Tidstabel[[#This Row],[FB_Uds?]]=0,1,0),IF(MAX(AX63:OFFSET(AY63,2-FB_Vedligehold_i,0),Tidstabel[[#This Row],[FB_Uds?]])=0,1,0))),BlankTegn)</f>
        <v>.</v>
      </c>
      <c r="AY64" s="178" t="str">
        <f>IFERROR(IF(Tidstabel[[#This Row],[År]]&gt;Input_Tidshorisont,BlankTegn,
IF(Tidstabel[[#This Row],[År]]=0,1,IF(MOD(Tidstabel[[#This Row],[År]],FB_Levetid)=0,1,IF(Tidstabel[[#This Row],[År]]=Input_Tidshorisont,0,0)))),BlankTegn)</f>
        <v>.</v>
      </c>
      <c r="AZ64" s="245" t="str">
        <f>IFERROR(IF(Tidstabel[[#This Row],[År]]&gt;Input_Tidshorisont,BlankTegn,
FB_Vedligehold_p*-FB_Enhedspris*Tidstabel[[#This Row],[FB_Ved?]]*((1+Tidstabel[[#This Row],[Kalkulationsrente]])^-Tidstabel[[#This Row],[År]])*((1+PrisudviklingGenerelt)^Tidstabel[[#This Row],[År]])),BlankTegn)</f>
        <v>.</v>
      </c>
      <c r="BA64" s="245" t="str">
        <f>IFERROR(IF(Tidstabel[[#This Row],[År]]&gt;Input_Tidshorisont,BlankTegn,
IF(Tidstabel[[#This Row],[År]]=0,FB_Enhedspris,SUM(BA63:BB63)*((1+Tidstabel[[#This Row],[Kalkulationsrente]])^-1)*((1+PrisudviklingGenerelt)^1)-Tidstabel[[#This Row],[FB_Afskrivning]])),BlankTegn)</f>
        <v>.</v>
      </c>
      <c r="BB64" s="245" t="str">
        <f>IFERROR(IF(Tidstabel[[#This Row],[År]]&gt;Input_Tidshorisont,BlankTegn,
IF(Tidstabel[[#This Row],[År]]=0,0,Tidstabel[[#This Row],[FB_Uds?]]*FB_Enhedspris*((1+Tidstabel[[#This Row],[Kalkulationsrente]])^-Tidstabel[[#This Row],[År]])*((1+PrisudviklingGenerelt)^Tidstabel[[#This Row],[År]]))),BlankTegn)</f>
        <v>.</v>
      </c>
      <c r="BC64" s="262" t="str">
        <f>IFERROR(IF(Tidstabel[[#This Row],[År]]&gt;Input_Tidshorisont,BlankTegn,
IF(Tidstabel[[#This Row],[År]]=0,0,Tidstabel[[#This Row],[FB_Uds?]]*-FB_Enhedspris*FB_Genoprettelse*((1+Tidstabel[[#This Row],[Kalkulationsrente]])^-Tidstabel[[#This Row],[År]])*((1+PrisudviklingGenerelt)^Tidstabel[[#This Row],[År]]))),BlankTegn)</f>
        <v>.</v>
      </c>
      <c r="BD64" s="245" t="str">
        <f>IFERROR(IF(Tidstabel[[#This Row],[År]]&gt;Input_Tidshorisont,BlankTegn,
IF(Tidstabel[[#This Row],[År]]=0,-VS_Enhedspris,0)),BlankTegn)</f>
        <v>.</v>
      </c>
      <c r="BE64" s="245" t="str">
        <f>IFERROR(IF(Tidstabel[[#This Row],[År]]&gt;Input_Tidshorisont,BlankTegn,
IF(Tidstabel[[#This Row],[År]]=0,VS_Enhedspris/VS_Levetid,BE63*((1+Tidstabel[[#This Row],[Kalkulationsrente]])^-1)*((1+PrisudviklingGenerelt)^1))),BlankTegn)</f>
        <v>.</v>
      </c>
      <c r="BF64" s="178" t="str">
        <f ca="1">IFERROR(IF(Tidstabel[[#This Row],[År]]&gt;Input_Tidshorisont,BlankTegn,
IF(VS_Vedligehold_i=1,IF(Tidstabel[[#This Row],[VS_Uds?]]=0,1,0),IF(MAX(BF63:OFFSET(BG63,2-VS_Vedligehold_i,0),Tidstabel[[#This Row],[VS_Uds?]])=0,1,0))),BlankTegn)</f>
        <v>.</v>
      </c>
      <c r="BG64" s="178" t="str">
        <f>IFERROR(IF(Tidstabel[[#This Row],[År]]&gt;Input_Tidshorisont,BlankTegn,
IF(Tidstabel[[#This Row],[År]]=0,1,IF(MOD(Tidstabel[[#This Row],[År]],VS_Levetid)=0,1,IF(Tidstabel[[#This Row],[År]]=Input_Tidshorisont,0,0)))),BlankTegn)</f>
        <v>.</v>
      </c>
      <c r="BH64" s="245" t="str">
        <f>IFERROR(IF(Tidstabel[[#This Row],[År]]&gt;Input_Tidshorisont,BlankTegn,
VS_Vedligehold_p*-VS_Enhedspris*Tidstabel[[#This Row],[VS_Ved?]]*((1+Tidstabel[[#This Row],[Kalkulationsrente]])^-Tidstabel[[#This Row],[År]])*((1+PrisudviklingGenerelt)^Tidstabel[[#This Row],[År]])),BlankTegn)</f>
        <v>.</v>
      </c>
      <c r="BI64" s="245" t="str">
        <f>IFERROR(IF(Tidstabel[[#This Row],[År]]&gt;Input_Tidshorisont,BlankTegn,
IF(Tidstabel[[#This Row],[År]]=0,VS_Enhedspris,SUM(BI63:BJ63)*((1+Tidstabel[[#This Row],[Kalkulationsrente]])^-1)*((1+PrisudviklingGenerelt)^1)-Tidstabel[[#This Row],[VS_Afskrivning]])),BlankTegn)</f>
        <v>.</v>
      </c>
      <c r="BJ64" s="245" t="str">
        <f>IFERROR(IF(Tidstabel[[#This Row],[År]]&gt;Input_Tidshorisont,BlankTegn,
IF(Tidstabel[[#This Row],[År]]=0,0,Tidstabel[[#This Row],[VS_Uds?]]*VS_Enhedspris*((1+Tidstabel[[#This Row],[Kalkulationsrente]])^-Tidstabel[[#This Row],[År]])*((1+PrisudviklingGenerelt)^Tidstabel[[#This Row],[År]]))),BlankTegn)</f>
        <v>.</v>
      </c>
      <c r="BK64" s="262" t="str">
        <f>IFERROR(IF(Tidstabel[[#This Row],[År]]&gt;Input_Tidshorisont,BlankTegn,
IF(Tidstabel[[#This Row],[År]]=0,0,Tidstabel[[#This Row],[VS_Uds?]]*-VS_Enhedspris*VS_Genoprettelse*((1+Tidstabel[[#This Row],[Kalkulationsrente]])^-Tidstabel[[#This Row],[År]])*((1+PrisudviklingGenerelt)^Tidstabel[[#This Row],[År]]))),BlankTegn)</f>
        <v>.</v>
      </c>
      <c r="BL64" s="245" t="str">
        <f>IFERROR(IF(Tidstabel[[#This Row],[År]]&gt;Input_Tidshorisont,BlankTegn,
IF(Tidstabel[[#This Row],[År]]=0,-EI_Enhedspris,0)),BlankTegn)</f>
        <v>.</v>
      </c>
      <c r="BM64" s="245" t="str">
        <f>IFERROR(IF(Tidstabel[[#This Row],[År]]&gt;Input_Tidshorisont,BlankTegn,
IF(Tidstabel[[#This Row],[År]]=0,EI_Enhedspris/EI_Levetid,BM63*((1+Tidstabel[[#This Row],[Kalkulationsrente]])^-1)*((1+PrisudviklingGenerelt)^1))),BlankTegn)</f>
        <v>.</v>
      </c>
      <c r="BN64" s="178" t="str">
        <f ca="1">IFERROR(IF(Tidstabel[[#This Row],[År]]&gt;Input_Tidshorisont,BlankTegn,
IF(EI_Vedligehold_i=1,IF(Tidstabel[[#This Row],[EI_Uds?]]=0,1,0),IF(MAX(BN63:OFFSET(BO63,2-EI_Vedligehold_i,0),Tidstabel[[#This Row],[EI_Uds?]])=0,1,0))),BlankTegn)</f>
        <v>.</v>
      </c>
      <c r="BO64" s="178" t="str">
        <f>IFERROR(IF(Tidstabel[[#This Row],[År]]&gt;Input_Tidshorisont,BlankTegn,
IF(Tidstabel[[#This Row],[År]]=0,1,IF(MOD(Tidstabel[[#This Row],[År]],EI_Levetid)=0,1,IF(Tidstabel[[#This Row],[År]]=Input_Tidshorisont,0,0)))),BlankTegn)</f>
        <v>.</v>
      </c>
      <c r="BP64" s="245" t="str">
        <f>IFERROR(IF(Tidstabel[[#This Row],[År]]&gt;Input_Tidshorisont,BlankTegn,
EI_Vedligehold_p*-EI_Enhedspris*Tidstabel[[#This Row],[EI_Ved?]]*((1+Tidstabel[[#This Row],[Kalkulationsrente]])^-Tidstabel[[#This Row],[År]])*((1+PrisudviklingGenerelt)^Tidstabel[[#This Row],[År]])),BlankTegn)</f>
        <v>.</v>
      </c>
      <c r="BQ64" s="245" t="str">
        <f>IFERROR(IF(Tidstabel[[#This Row],[År]]&gt;Input_Tidshorisont,BlankTegn,
IF(Tidstabel[[#This Row],[År]]=0,EI_Enhedspris,SUM(BQ63:BR63)*((1+Tidstabel[[#This Row],[Kalkulationsrente]])^-1)*((1+PrisudviklingGenerelt)^1)-Tidstabel[[#This Row],[EI_Afskrivning]])),BlankTegn)</f>
        <v>.</v>
      </c>
      <c r="BR64" s="245" t="str">
        <f>IFERROR(IF(Tidstabel[[#This Row],[År]]&gt;Input_Tidshorisont,BlankTegn,
IF(Tidstabel[[#This Row],[År]]=0,0,Tidstabel[[#This Row],[EI_Uds?]]*EI_Enhedspris*((1+Tidstabel[[#This Row],[Kalkulationsrente]])^-Tidstabel[[#This Row],[År]])*((1+PrisudviklingGenerelt)^Tidstabel[[#This Row],[År]]))),BlankTegn)</f>
        <v>.</v>
      </c>
      <c r="BS64" s="262" t="str">
        <f>IFERROR(IF(Tidstabel[[#This Row],[År]]&gt;Input_Tidshorisont,BlankTegn,
IF(Tidstabel[[#This Row],[År]]=0,0,Tidstabel[[#This Row],[EI_Uds?]]*-EI_Enhedspris*EI_Genoprettelse*((1+Tidstabel[[#This Row],[Kalkulationsrente]])^-Tidstabel[[#This Row],[År]])*((1+PrisudviklingGenerelt)^Tidstabel[[#This Row],[År]]))),BlankTegn)</f>
        <v>.</v>
      </c>
      <c r="BT64" s="245" t="str">
        <f>IFERROR(IF(Tidstabel[[#This Row],[År]]&gt;Input_Tidshorisont,BlankTegn,
IF(Tidstabel[[#This Row],[År]]=0,-AP_Enhedspris,0)),BlankTegn)</f>
        <v>.</v>
      </c>
      <c r="BU64" s="245" t="str">
        <f>IFERROR(IF(Tidstabel[[#This Row],[År]]&gt;Input_Tidshorisont,BlankTegn,
IF(Tidstabel[[#This Row],[År]]=0,AP_Enhedspris/AP_Levetid,BU63*((1+Tidstabel[[#This Row],[Kalkulationsrente]])^-1)*((1+PrisudviklingGenerelt)^1))),BlankTegn)</f>
        <v>.</v>
      </c>
      <c r="BV64" s="178" t="str">
        <f ca="1">IFERROR(IF(Tidstabel[[#This Row],[År]]&gt;Input_Tidshorisont,BlankTegn,
IF(AP_Vedligehold_i=1,IF(Tidstabel[[#This Row],[AP_Uds?]]=0,1,0),IF(MAX(BV63:OFFSET(BW63,2-AP_Vedligehold_i,0),Tidstabel[[#This Row],[AP_Uds?]])=0,1,0))),BlankTegn)</f>
        <v>.</v>
      </c>
      <c r="BW64" s="178" t="str">
        <f>IFERROR(IF(Tidstabel[[#This Row],[År]]&gt;Input_Tidshorisont,BlankTegn,
IF(Tidstabel[[#This Row],[År]]=0,1,IF(MOD(Tidstabel[[#This Row],[År]],AP_Levetid)=0,1,IF(Tidstabel[[#This Row],[År]]=Input_Tidshorisont,0,0)))),BlankTegn)</f>
        <v>.</v>
      </c>
      <c r="BX64" s="245" t="str">
        <f>IFERROR(IF(Tidstabel[[#This Row],[År]]&gt;Input_Tidshorisont,BlankTegn,
AP_Vedligehold_p*-AP_Enhedspris*Tidstabel[[#This Row],[AP_Ved?]]*((1+Tidstabel[[#This Row],[Kalkulationsrente]])^-Tidstabel[[#This Row],[År]])*((1+PrisudviklingGenerelt)^Tidstabel[[#This Row],[År]])),BlankTegn)</f>
        <v>.</v>
      </c>
      <c r="BY64" s="245" t="str">
        <f>IFERROR(IF(Tidstabel[[#This Row],[År]]&gt;Input_Tidshorisont,BlankTegn,
IF(Tidstabel[[#This Row],[År]]=0,AP_Enhedspris,SUM(BY63:BZ63)*((1+Tidstabel[[#This Row],[Kalkulationsrente]])^-1)*((1+PrisudviklingGenerelt)^1)-Tidstabel[[#This Row],[AP_Afskrivning]])),BlankTegn)</f>
        <v>.</v>
      </c>
      <c r="BZ64" s="245" t="str">
        <f>IFERROR(IF(Tidstabel[[#This Row],[År]]&gt;Input_Tidshorisont,BlankTegn,
IF(Tidstabel[[#This Row],[År]]=0,0,Tidstabel[[#This Row],[AP_Uds?]]*AP_Enhedspris*((1+Tidstabel[[#This Row],[Kalkulationsrente]])^-Tidstabel[[#This Row],[År]])*((1+PrisudviklingGenerelt)^Tidstabel[[#This Row],[År]]))),BlankTegn)</f>
        <v>.</v>
      </c>
      <c r="CA64" s="262" t="str">
        <f>IFERROR(IF(Tidstabel[[#This Row],[År]]&gt;Input_Tidshorisont,BlankTegn,
IF(Tidstabel[[#This Row],[År]]=0,0,Tidstabel[[#This Row],[AP_Uds?]]*-AP_Enhedspris*AP_Genoprettelse*((1+Tidstabel[[#This Row],[Kalkulationsrente]])^-Tidstabel[[#This Row],[År]])*((1+PrisudviklingGenerelt)^Tidstabel[[#This Row],[År]]))),BlankTegn)</f>
        <v>.</v>
      </c>
      <c r="CB64" s="245" t="str">
        <f>IFERROR(IF(Tidstabel[[#This Row],[År]]&gt;Input_Tidshorisont,BlankTegn,
IF(Tidstabel[[#This Row],[År]]=0,-SK_Enhedspris,0)),BlankTegn)</f>
        <v>.</v>
      </c>
      <c r="CC64" s="245" t="str">
        <f>IFERROR(IF(Tidstabel[[#This Row],[År]]&gt;Input_Tidshorisont,BlankTegn,
IF(Tidstabel[[#This Row],[År]]=0,SK_Enhedspris/SK_Levetid,CC63*((1+Tidstabel[[#This Row],[Kalkulationsrente]])^-1)*((1+PrisudviklingGenerelt)^1))),BlankTegn)</f>
        <v>.</v>
      </c>
      <c r="CD64" s="178" t="str">
        <f ca="1">IFERROR(IF(Tidstabel[[#This Row],[År]]&gt;Input_Tidshorisont,BlankTegn,
IF(SK_Vedligehold_i=1,IF(Tidstabel[[#This Row],[SK_Uds?]]=0,1,0),IF(MAX(CD63:OFFSET(CE63,2-SK_Vedligehold_i,0),Tidstabel[[#This Row],[SK_Uds?]])=0,1,0))),BlankTegn)</f>
        <v>.</v>
      </c>
      <c r="CE64" s="178" t="str">
        <f>IFERROR(IF(Tidstabel[[#This Row],[År]]&gt;Input_Tidshorisont,BlankTegn,
IF(Tidstabel[[#This Row],[År]]=0,1,IF(MOD(Tidstabel[[#This Row],[År]],SK_Levetid)=0,1,IF(Tidstabel[[#This Row],[År]]=Input_Tidshorisont,0,0)))),BlankTegn)</f>
        <v>.</v>
      </c>
      <c r="CF64" s="245" t="str">
        <f>IFERROR(IF(Tidstabel[[#This Row],[År]]&gt;Input_Tidshorisont,BlankTegn,
SK_Vedligehold_p*-SK_Enhedspris*Tidstabel[[#This Row],[SK_Ved?]]*((1+Tidstabel[[#This Row],[Kalkulationsrente]])^-Tidstabel[[#This Row],[År]])*((1+PrisudviklingGenerelt)^Tidstabel[[#This Row],[År]])),BlankTegn)</f>
        <v>.</v>
      </c>
      <c r="CG64" s="245" t="str">
        <f>IFERROR(IF(Tidstabel[[#This Row],[År]]&gt;Input_Tidshorisont,BlankTegn,
IF(Tidstabel[[#This Row],[År]]=0,SK_Enhedspris,SUM(CG63:CH63)*((1+Tidstabel[[#This Row],[Kalkulationsrente]])^-1)*((1+PrisudviklingGenerelt)^1)-Tidstabel[[#This Row],[SK_Afskrivning]])),BlankTegn)</f>
        <v>.</v>
      </c>
      <c r="CH64" s="245" t="str">
        <f>IFERROR(IF(Tidstabel[[#This Row],[År]]&gt;Input_Tidshorisont,BlankTegn,
IF(Tidstabel[[#This Row],[År]]=0,0,Tidstabel[[#This Row],[SK_Uds?]]*SK_Enhedspris*((1+Tidstabel[[#This Row],[Kalkulationsrente]])^-Tidstabel[[#This Row],[År]])*((1+PrisudviklingGenerelt)^Tidstabel[[#This Row],[År]]))),BlankTegn)</f>
        <v>.</v>
      </c>
      <c r="CI64" s="262" t="str">
        <f>IFERROR(IF(Tidstabel[[#This Row],[År]]&gt;Input_Tidshorisont,BlankTegn,
IF(Tidstabel[[#This Row],[År]]=0,0,Tidstabel[[#This Row],[SK_Uds?]]*-SK_Enhedspris*SK_Genoprettelse*((1+Tidstabel[[#This Row],[Kalkulationsrente]])^-Tidstabel[[#This Row],[År]])*((1+PrisudviklingGenerelt)^Tidstabel[[#This Row],[År]]))),BlankTegn)</f>
        <v>.</v>
      </c>
      <c r="CJ64" s="19"/>
    </row>
    <row r="65" spans="1:88">
      <c r="A65" s="250">
        <v>58</v>
      </c>
      <c r="B65" s="250">
        <f>Input_Etableringsår+Tidstabel[[#This Row],[År]]</f>
        <v>2082</v>
      </c>
      <c r="C65" s="274" cm="1">
        <f t="array" ref="C65">_xlfn.IFS(Tidstabel[[#This Row],[År]]&gt;KR_Trin3_Tærskel,KR_Trin3_Rente,Tidstabel[[#This Row],[År]]&gt;KR_Trin2_Tærskel,KR_Trin2_Rente,Tidstabel[[#This Row],[År]]&gt;KR_Trin1_Tærskel,KR_Trin1_Rente,Tidstabel[[#This Row],[År]]&gt;KR_Trin0_Tærskel,KR_Trin0_Rente)</f>
        <v>2.5000000000000001E-2</v>
      </c>
      <c r="D65" s="142" t="str" cm="1">
        <f t="array" ref="D65">IFERROR(
INDEX(Range_Materiale_ÅrligeEmissioner,MATCH(1,(Materialedata[Komponent]=FB_Titel)*(Materialedata[Materiale]=FB_Materiale),0),MATCH(Tidstabel[[#This Row],[År]],Range_Materiale_År,0)),BlankTegn)</f>
        <v>.</v>
      </c>
      <c r="E65" s="142" t="str" cm="1">
        <f t="array" ref="E65">IFERROR(
INDEX(Range_Materiale_ÅrligeEmissioner,MATCH(1,(Materialedata[Komponent]=SK_Titel)*(Materialedata[Materiale]=SK_Materiale),0),MATCH(Tidstabel[[#This Row],[År]],Range_Materiale_År,0)),BlankTegn)</f>
        <v>.</v>
      </c>
      <c r="F65" s="142" t="str" cm="1">
        <f t="array" ref="F65">IFERROR(
INDEX(Range_Materiale_ÅrligeEmissioner,MATCH(1,(Materialedata[Komponent]=EI_Titel)*(Materialedata[Materiale]=EI_Materiale),0),MATCH(Tidstabel[[#This Row],[År]],Range_Materiale_År,0)),BlankTegn)</f>
        <v>.</v>
      </c>
      <c r="G65" s="142" t="str" cm="1">
        <f t="array" ref="G65">IFERROR(
INDEX(Range_Materiale_ÅrligeEmissioner,MATCH(1,(Materialedata[Komponent]=AP_Titel)*(Materialedata[Materiale]=AP_Materiale),0),MATCH(Tidstabel[[#This Row],[År]],Range_Materiale_År,0)),BlankTegn)</f>
        <v>.</v>
      </c>
      <c r="H65" s="142" t="str" cm="1">
        <f t="array" ref="H65">IFERROR(
INDEX(Range_Materiale_ÅrligeEmissioner,MATCH(1,(Materialedata[Komponent]=VS_Titel)*(Materialedata[Materiale]=VS_Materiale),0),MATCH(Tidstabel[[#This Row],[År]],Range_Materiale_År,0)),BlankTegn)</f>
        <v>.</v>
      </c>
      <c r="I65" s="142" t="str">
        <f>IFERROR(
IF(SUM(Tidstabel[[#This Row],[Facadebeklædning]:[Vindspærre]])=0,BlankTegn,
SUM(Tidstabel[[#This Row],[Facadebeklædning]:[Vindspærre]])),BlankTegn)</f>
        <v>.</v>
      </c>
      <c r="J65" s="139" t="str">
        <f>IF(Tidstabel[[#This Row],[År]]&gt;Input_Tidshorisont,BlankTegn,
A5_ElVarmeBrændstofByggeplads)</f>
        <v>.</v>
      </c>
      <c r="K65" s="142" t="str">
        <f>IFERROR(IF(Tidstabel[[#This Row],[År]]&gt;Input_Tidshorisont,BlankTegn,
-1*INDEX(Range_Energi_ÅrligBesparelse,MATCH(Input_EksisterendeFacade,Energiberegning[Ydervæg],0),MATCH(Tidstabel[[#This Row],[Årstal]],Range_Energi_Årstal,0))),BlankTegn)</f>
        <v>.</v>
      </c>
      <c r="L65" s="142" t="str">
        <f>IF(Tidstabel[[#This Row],[År]]&gt;Input_Tidshorisont,BlankTegn,
(Tidstabel[[#This Row],[År]]+1)*(SUM(Vedligeholdelsesmaterialer[Facadefarve],Vedligeholdelsesmaterialer[Grunder og mellemmaling])/12+SUM(Vedligeholdelsesmaterialer[Puds])/30))</f>
        <v>.</v>
      </c>
      <c r="M65" s="142" t="str">
        <f>IFERROR(IF(Tidstabel[[#This Row],[År]]&gt;Input_Tidshorisont,BlankTegn,
Tidstabel[[#This Row],[Materialer_Total]]+Tidstabel[[#This Row],[Byggeprocess]]),BlankTegn)</f>
        <v>.</v>
      </c>
      <c r="N65" s="142" t="str">
        <f>IFERROR(IF(Tidstabel[[#This Row],[År]]&gt;Input_Tidshorisont,BlankTegn,
Tidstabel[[#This Row],[Energibesparelse]]+Tidstabel[[#This Row],[Emission_Brutto]]),BlankTegn)</f>
        <v>.</v>
      </c>
      <c r="O65" s="142" t="str">
        <f>IFERROR(IF(Tidstabel[[#This Row],[År]]&gt;Input_Tidshorisont,BlankTegn,
Tidstabel[[#This Row],[Emission_Netto]]-Tidstabel[[#This Row],[Vedligehold_EksisterendeFacade]]),BlankTegn)</f>
        <v>.</v>
      </c>
      <c r="P65" s="271" t="str">
        <f>IFERROR(IF(Tidstabel[[#This Row],[År]]&gt;Input_Tidshorisont,BlankTegn,
IF(AND(Tidstabel[[#This Row],[Emission_Netto]]-Tidstabel[[#This Row],[Vedligehold_EksisterendeFacade]]&gt;0,N66-L66&lt;0),-1,IF(AND(Tidstabel[[#This Row],[Emission_Netto]]-Tidstabel[[#This Row],[Vedligehold_EksisterendeFacade]]&lt;0,N66-L66&gt;0),1,0))),BlankTegn)</f>
        <v>.</v>
      </c>
      <c r="Q65" s="174" t="str">
        <f>IF(Tidstabel[[#This Row],[År]]&gt;Input_Tidshorisont,BlankTegn,
IF(Tidstabel[[#This Row],[LCA-Skæring]]=-1,SUM(Tidstabel[[#This Row],[År]]*(1-ABS(Tidstabel[[#This Row],[LCA-Difference]])/(ABS(Tidstabel[[#This Row],[LCA-Difference]])+ABS(O66))),A66*(1-ABS(O66)/(ABS(Tidstabel[[#This Row],[LCA-Difference]])+ABS(O66)))),"-"))</f>
        <v>.</v>
      </c>
      <c r="R65" s="174" t="str">
        <f>IF(Tidstabel[[#This Row],[År]]&gt;Input_Tidshorisont,BlankTegn,
IF(Tidstabel[[#This Row],[LCA-Skæring]]=-1,SUM(Tidstabel[[#This Row],[Emission_Netto]]*(1-ABS(Tidstabel[[#This Row],[LCA-Difference]])/(ABS(Tidstabel[[#This Row],[LCA-Difference]])+ABS(O66))),N66*(1-ABS(O66)/(ABS(Tidstabel[[#This Row],[LCA-Difference]])+ABS(O66)))),"-"))</f>
        <v>.</v>
      </c>
      <c r="S65" s="174" t="str">
        <f>IF(Tidstabel[[#This Row],[År]]&gt;Input_Tidshorisont,BlankTegn,
IF(Tidstabel[[#This Row],[LCA-Skæring]]=1,SUM(Tidstabel[[#This Row],[År]]*(1-ABS(Tidstabel[[#This Row],[LCA-Difference]])/(ABS(Tidstabel[[#This Row],[LCA-Difference]])+ABS(O66))),A66*(1-ABS(O66)/(ABS(Tidstabel[[#This Row],[LCA-Difference]])+ABS(O66)))),"-"))</f>
        <v>.</v>
      </c>
      <c r="T65" s="264" t="str">
        <f>IF(Tidstabel[[#This Row],[År]]&gt;Input_Tidshorisont,BlankTegn,
IF(Tidstabel[[#This Row],[LCA-Skæring]]=1,SUM(Tidstabel[[#This Row],[Emission_Netto]]*(1-ABS(Tidstabel[[#This Row],[LCA-Difference]])/(ABS(Tidstabel[[#This Row],[LCA-Difference]])+ABS(O66))),N66*(1-ABS(O66)/(ABS(Tidstabel[[#This Row],[LCA-Difference]])+ABS(O66)))),"-"))</f>
        <v>.</v>
      </c>
      <c r="U65" s="142" t="str">
        <f>IFERROR(IF(Tidstabel[[#This Row],[År]]&gt;Input_Tidshorisont,BlankTegn,
Tidstabel[[#This Row],[NPV_Klimafacade]]-Tidstabel[[#This Row],[NPV_Eksisterende]]),BlankTegn)</f>
        <v>.</v>
      </c>
      <c r="V65" s="271" t="str">
        <f>IFERROR(IF(Tidstabel[[#This Row],[År]]&gt;Input_Tidshorisont,BlankTegn,
IF(AND(Tidstabel[[#This Row],[NPV_Klimafacade]]-Tidstabel[[#This Row],[NPV_Eksisterende]]&gt;0,AB66-AA66&lt;0),1,IF(AND(Tidstabel[[#This Row],[NPV_Klimafacade]]-Tidstabel[[#This Row],[NPV_Eksisterende]]&lt;0,AB66-AA66&gt;0),-1,0))),BlankTegn)</f>
        <v>.</v>
      </c>
      <c r="W65" s="174" t="str">
        <f>IF(Tidstabel[[#This Row],[År]]&gt;Input_Tidshorisont,BlankTegn,
IF(Tidstabel[[#This Row],[LCC-Skæring]]=-1,SUM(Tidstabel[[#This Row],[År]]*(1-ABS(Tidstabel[[#This Row],[LCC-Difference]])/(ABS(Tidstabel[[#This Row],[LCC-Difference]])+ABS(U66))),A66*(1-ABS(U66)/(ABS(Tidstabel[[#This Row],[LCC-Difference]])+ABS(U66)))),"-"))</f>
        <v>.</v>
      </c>
      <c r="X65" s="174" t="str">
        <f>IF(Tidstabel[[#This Row],[År]]&gt;Input_Tidshorisont,BlankTegn,
IF(Tidstabel[[#This Row],[LCC-Skæring]]=-1,SUM(Tidstabel[[#This Row],[NPV_Klimafacade]]*(1-ABS(Tidstabel[[#This Row],[LCC-Difference]])/(ABS(Tidstabel[[#This Row],[LCC-Difference]])+ABS(U66))),AB66*(1-ABS(U66)/(ABS(Tidstabel[[#This Row],[LCC-Difference]])+ABS(U66)))),"-"))</f>
        <v>.</v>
      </c>
      <c r="Y65" s="174" t="str">
        <f>IF(Tidstabel[[#This Row],[År]]&gt;Input_Tidshorisont,BlankTegn,
IF(Tidstabel[[#This Row],[LCC-Skæring]]=1,SUM(Tidstabel[[#This Row],[År]]*(1-ABS(Tidstabel[[#This Row],[LCC-Difference]])/(ABS(Tidstabel[[#This Row],[LCC-Difference]])+ABS(U66))),A66*(1-ABS(U66)/(ABS(Tidstabel[[#This Row],[LCC-Difference]])+ABS(U66)))),"-"))</f>
        <v>.</v>
      </c>
      <c r="Z65" s="264" t="str">
        <f>IF(Tidstabel[[#This Row],[År]]&gt;Input_Tidshorisont,BlankTegn,
IF(Tidstabel[[#This Row],[LCC-Skæring]]=1,SUM(Tidstabel[[#This Row],[NPV_Klimafacade]]*(1-ABS(Tidstabel[[#This Row],[LCC-Difference]])/(ABS(Tidstabel[[#This Row],[LCC-Difference]])+ABS(U66))),AB66*(1-ABS(U66)/(ABS(Tidstabel[[#This Row],[LCC-Difference]])+ABS(U66)))),"-"))</f>
        <v>.</v>
      </c>
      <c r="AA65" s="142" t="str">
        <f>IF(Tidstabel[[#This Row],[År]]&gt;Input_Tidshorisont,BlankTegn,
Tidstabel[[#This Row],[EF_Vedligehold_Aggregeret]])</f>
        <v>.</v>
      </c>
      <c r="AB65"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65" s="142" t="str">
        <f>IFERROR(IF(Tidstabel[[#This Row],[År]]&gt;Input_Tidshorisont,BlankTegn,
Tidstabel[[#This Row],[KF_Anskaffelse_Aggregeret]]+Tidstabel[[#This Row],[KF_Engangsudgifter_Aggregeret]]),BlankTegn)</f>
        <v>.</v>
      </c>
      <c r="AD65" s="174" t="str">
        <f>IFERROR(IF(Tidstabel[[#This Row],[År]]&gt;Input_Tidshorisont,BlankTegn,
IF(Tidstabel[[#This Row],[År]]=0,0,Tidstabel[[#This Row],[NPV_Eksisterende]]*(Tidstabel[[#This Row],[Kalkulationsrente]]/(1-(1+Tidstabel[[#This Row],[Kalkulationsrente]])^-Tidstabel[[#This Row],[År]])))),BlankTegn)</f>
        <v>.</v>
      </c>
      <c r="AE65" s="264" t="str">
        <f>IFERROR(IF(Tidstabel[[#This Row],[År]]&gt;Input_Tidshorisont,BlankTegn,
IF(Tidstabel[[#This Row],[År]]=0,0,Tidstabel[[#This Row],[NPV_Klimafacade]]*(Tidstabel[[#This Row],[Kalkulationsrente]]/(1-(1+Tidstabel[[#This Row],[Kalkulationsrente]])^-Tidstabel[[#This Row],[År]])))),BlankTegn)</f>
        <v>.</v>
      </c>
      <c r="AF65" s="270" t="str">
        <f ca="1">IF(Tidstabel[[#This Row],[År]]&gt;Input_Tidshorisont,BlankTegn,
IF(EF_Vedligehold_i=1,IF(Tidstabel[[#This Row],[EF_Uds?]]=0,1,0),IF(MAX(AF64:OFFSET(AG64,2-EF_Vedligehold_i,0),Tidstabel[[#This Row],[EF_Uds?]])=0,1,0)))</f>
        <v>.</v>
      </c>
      <c r="AG65" s="181" t="str">
        <f>IF(Tidstabel[[#This Row],[År]]&gt;Input_Tidshorisont,BlankTegn,0)</f>
        <v>.</v>
      </c>
      <c r="AH65" s="263" t="str">
        <f>IF(Tidstabel[[#This Row],[År]]&gt;Input_Tidshorisont,BlankTegn,
Tidstabel[[#This Row],[EF_Ved?]]*EF_Vedligehold_p*-EF_Enhedspris*((1+Tidstabel[[#This Row],[Kalkulationsrente]])^-Tidstabel[[#This Row],[År]])*((1+PrisudviklingGenerelt)^Tidstabel[[#This Row],[År]]))</f>
        <v>.</v>
      </c>
      <c r="AI65" s="262" t="str">
        <f>IF(Tidstabel[[#This Row],[År]]&gt;Input_Tidshorisont,BlankTegn,
IF(Tidstabel[[#This Row],[År]]=0,Tidstabel[[#This Row],[EF_Vedligehold]],AI64+Tidstabel[[#This Row],[EF_Vedligehold]]))</f>
        <v>.</v>
      </c>
      <c r="AJ65" s="245" t="str">
        <f>IFERROR(IF(Tidstabel[[#This Row],[År]]&gt;Input_Tidshorisont,BlankTegn,
Tidstabel[[#This Row],[FB_Anskaffelse]]+Tidstabel[[#This Row],[VS_Anskaffelse]]+Tidstabel[[#This Row],[EI_Anskaffelse]]+Tidstabel[[#This Row],[AP_Anskaffelse]]+Tidstabel[[#This Row],[SK_Anskaffelse]]),BlankTegn)</f>
        <v>.</v>
      </c>
      <c r="AK65" s="245" t="str">
        <f>IFERROR(IF(Tidstabel[[#This Row],[År]]&gt;Input_Tidshorisont,BlankTegn,
IF(Tidstabel[[#This Row],[År]]=0,Tidstabel[[#This Row],[KF_Anskaffelse]],AK64+Tidstabel[[#This Row],[KF_Anskaffelse]])),BlankTegn)</f>
        <v>.</v>
      </c>
      <c r="AL65" s="246" t="str">
        <f>IFERROR(IF(Tidstabel[[#This Row],[År]]&gt;Input_Tidshorisont,BlankTegn,
Tidstabel[[#This Row],[FB_Vedligehold]]+Tidstabel[[#This Row],[VS_Vedligehold]]+Tidstabel[[#This Row],[EI_Vedligehold]]+Tidstabel[[#This Row],[AP_Vedligehold]]+Tidstabel[[#This Row],[SK_Vedligehold]]),BlankTegn)</f>
        <v>.</v>
      </c>
      <c r="AM65" s="245" t="str">
        <f>IFERROR(IF(Tidstabel[[#This Row],[År]]&gt;Input_Tidshorisont,BlankTegn,
IF(Tidstabel[[#This Row],[År]]=0,Tidstabel[[#This Row],[KF_Vedligehold]],AM64+Tidstabel[[#This Row],[KF_Vedligehold]])),BlankTegn)</f>
        <v>.</v>
      </c>
      <c r="AN65"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65"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65" s="245" t="str">
        <f>IFERROR(IF(Tidstabel[[#This Row],[År]]&gt;Input_Tidshorisont,BlankTegn,
IF(Tidstabel[[#This Row],[År]]=0,Tidstabel[[#This Row],[KF_Udskiftning_Komponent]],AP64+Tidstabel[[#This Row],[KF_Udskiftning_Komponent]])),BlankTegn)</f>
        <v>.</v>
      </c>
      <c r="AQ65" s="245" t="str">
        <f>IF(Tidstabel[[#This Row],[År]]&gt;Input_Tidshorisont,BlankTegn,
IF(Tidstabel[[#This Row],[År]]=0,-SUM(Engangsudgifter[Udgift]),0))</f>
        <v>.</v>
      </c>
      <c r="AR65" s="245" t="str">
        <f>IFERROR(IF(Tidstabel[[#This Row],[År]]&gt;Input_Tidshorisont,BlankTegn,
IF(Tidstabel[[#This Row],[År]]=0,Tidstabel[[#This Row],[KF_Engangsudgifter]],AR64+Tidstabel[[#This Row],[KF_Engangsudgifter]])),BlankTegn)</f>
        <v>.</v>
      </c>
      <c r="AS65" s="315" t="str">
        <f>IFERROR(IF(Tidstabel[[#This Row],[År]]&gt;Input_Tidshorisont,BlankTegn,
-Energibesparelse_Årlig),BlankTegn)</f>
        <v>.</v>
      </c>
      <c r="AT65" s="245" t="str">
        <f>IFERROR(IF(Tidstabel[[#This Row],[År]]&gt;Input_Tidshorisont,BlankTegn,
IF(Tidstabel[[#This Row],[År]]=0,0,-Tidstabel[[#This Row],[KF_Energiforbrug]]*Input_Fjernvarmepris*((1+Tidstabel[[#This Row],[Kalkulationsrente]])^-Tidstabel[[#This Row],[År]])*((1+PrisudviklingFjernvarme)^Tidstabel[[#This Row],[År]]))),BlankTegn)</f>
        <v>.</v>
      </c>
      <c r="AU65" s="262" t="str">
        <f>IFERROR(IF(Tidstabel[[#This Row],[År]]&gt;Input_Tidshorisont,BlankTegn,
IF(Tidstabel[[#This Row],[År]]=0,Tidstabel[[#This Row],[KF_Forsyning]],AU64+Tidstabel[[#This Row],[KF_Forsyning]])),BlankTegn)</f>
        <v>.</v>
      </c>
      <c r="AV65" s="245" t="str">
        <f>IFERROR(IF(Tidstabel[[#This Row],[År]]&gt;Input_Tidshorisont,BlankTegn,
IF(Tidstabel[[#This Row],[År]]=0,-FB_Enhedspris,0)),BlankTegn)</f>
        <v>.</v>
      </c>
      <c r="AW65" s="245" t="str">
        <f>IFERROR(IF(Tidstabel[[#This Row],[År]]&gt;Input_Tidshorisont,BlankTegn,
IF(Tidstabel[[#This Row],[År]]=0,FB_Enhedspris/FB_Levetid,AW64*((1+Tidstabel[[#This Row],[Kalkulationsrente]])^-1)*((1+PrisudviklingGenerelt)^1))),BlankTegn)</f>
        <v>.</v>
      </c>
      <c r="AX65" s="178" t="str">
        <f ca="1">IFERROR(IF(Tidstabel[[#This Row],[År]]&gt;Input_Tidshorisont,BlankTegn,
IF(FB_Vedligehold_i=1,IF(Tidstabel[[#This Row],[FB_Uds?]]=0,1,0),IF(MAX(AX64:OFFSET(AY64,2-FB_Vedligehold_i,0),Tidstabel[[#This Row],[FB_Uds?]])=0,1,0))),BlankTegn)</f>
        <v>.</v>
      </c>
      <c r="AY65" s="178" t="str">
        <f>IFERROR(IF(Tidstabel[[#This Row],[År]]&gt;Input_Tidshorisont,BlankTegn,
IF(Tidstabel[[#This Row],[År]]=0,1,IF(MOD(Tidstabel[[#This Row],[År]],FB_Levetid)=0,1,IF(Tidstabel[[#This Row],[År]]=Input_Tidshorisont,0,0)))),BlankTegn)</f>
        <v>.</v>
      </c>
      <c r="AZ65" s="245" t="str">
        <f>IFERROR(IF(Tidstabel[[#This Row],[År]]&gt;Input_Tidshorisont,BlankTegn,
FB_Vedligehold_p*-FB_Enhedspris*Tidstabel[[#This Row],[FB_Ved?]]*((1+Tidstabel[[#This Row],[Kalkulationsrente]])^-Tidstabel[[#This Row],[År]])*((1+PrisudviklingGenerelt)^Tidstabel[[#This Row],[År]])),BlankTegn)</f>
        <v>.</v>
      </c>
      <c r="BA65" s="245" t="str">
        <f>IFERROR(IF(Tidstabel[[#This Row],[År]]&gt;Input_Tidshorisont,BlankTegn,
IF(Tidstabel[[#This Row],[År]]=0,FB_Enhedspris,SUM(BA64:BB64)*((1+Tidstabel[[#This Row],[Kalkulationsrente]])^-1)*((1+PrisudviklingGenerelt)^1)-Tidstabel[[#This Row],[FB_Afskrivning]])),BlankTegn)</f>
        <v>.</v>
      </c>
      <c r="BB65" s="245" t="str">
        <f>IFERROR(IF(Tidstabel[[#This Row],[År]]&gt;Input_Tidshorisont,BlankTegn,
IF(Tidstabel[[#This Row],[År]]=0,0,Tidstabel[[#This Row],[FB_Uds?]]*FB_Enhedspris*((1+Tidstabel[[#This Row],[Kalkulationsrente]])^-Tidstabel[[#This Row],[År]])*((1+PrisudviklingGenerelt)^Tidstabel[[#This Row],[År]]))),BlankTegn)</f>
        <v>.</v>
      </c>
      <c r="BC65" s="262" t="str">
        <f>IFERROR(IF(Tidstabel[[#This Row],[År]]&gt;Input_Tidshorisont,BlankTegn,
IF(Tidstabel[[#This Row],[År]]=0,0,Tidstabel[[#This Row],[FB_Uds?]]*-FB_Enhedspris*FB_Genoprettelse*((1+Tidstabel[[#This Row],[Kalkulationsrente]])^-Tidstabel[[#This Row],[År]])*((1+PrisudviklingGenerelt)^Tidstabel[[#This Row],[År]]))),BlankTegn)</f>
        <v>.</v>
      </c>
      <c r="BD65" s="245" t="str">
        <f>IFERROR(IF(Tidstabel[[#This Row],[År]]&gt;Input_Tidshorisont,BlankTegn,
IF(Tidstabel[[#This Row],[År]]=0,-VS_Enhedspris,0)),BlankTegn)</f>
        <v>.</v>
      </c>
      <c r="BE65" s="245" t="str">
        <f>IFERROR(IF(Tidstabel[[#This Row],[År]]&gt;Input_Tidshorisont,BlankTegn,
IF(Tidstabel[[#This Row],[År]]=0,VS_Enhedspris/VS_Levetid,BE64*((1+Tidstabel[[#This Row],[Kalkulationsrente]])^-1)*((1+PrisudviklingGenerelt)^1))),BlankTegn)</f>
        <v>.</v>
      </c>
      <c r="BF65" s="178" t="str">
        <f ca="1">IFERROR(IF(Tidstabel[[#This Row],[År]]&gt;Input_Tidshorisont,BlankTegn,
IF(VS_Vedligehold_i=1,IF(Tidstabel[[#This Row],[VS_Uds?]]=0,1,0),IF(MAX(BF64:OFFSET(BG64,2-VS_Vedligehold_i,0),Tidstabel[[#This Row],[VS_Uds?]])=0,1,0))),BlankTegn)</f>
        <v>.</v>
      </c>
      <c r="BG65" s="178" t="str">
        <f>IFERROR(IF(Tidstabel[[#This Row],[År]]&gt;Input_Tidshorisont,BlankTegn,
IF(Tidstabel[[#This Row],[År]]=0,1,IF(MOD(Tidstabel[[#This Row],[År]],VS_Levetid)=0,1,IF(Tidstabel[[#This Row],[År]]=Input_Tidshorisont,0,0)))),BlankTegn)</f>
        <v>.</v>
      </c>
      <c r="BH65" s="245" t="str">
        <f>IFERROR(IF(Tidstabel[[#This Row],[År]]&gt;Input_Tidshorisont,BlankTegn,
VS_Vedligehold_p*-VS_Enhedspris*Tidstabel[[#This Row],[VS_Ved?]]*((1+Tidstabel[[#This Row],[Kalkulationsrente]])^-Tidstabel[[#This Row],[År]])*((1+PrisudviklingGenerelt)^Tidstabel[[#This Row],[År]])),BlankTegn)</f>
        <v>.</v>
      </c>
      <c r="BI65" s="245" t="str">
        <f>IFERROR(IF(Tidstabel[[#This Row],[År]]&gt;Input_Tidshorisont,BlankTegn,
IF(Tidstabel[[#This Row],[År]]=0,VS_Enhedspris,SUM(BI64:BJ64)*((1+Tidstabel[[#This Row],[Kalkulationsrente]])^-1)*((1+PrisudviklingGenerelt)^1)-Tidstabel[[#This Row],[VS_Afskrivning]])),BlankTegn)</f>
        <v>.</v>
      </c>
      <c r="BJ65" s="245" t="str">
        <f>IFERROR(IF(Tidstabel[[#This Row],[År]]&gt;Input_Tidshorisont,BlankTegn,
IF(Tidstabel[[#This Row],[År]]=0,0,Tidstabel[[#This Row],[VS_Uds?]]*VS_Enhedspris*((1+Tidstabel[[#This Row],[Kalkulationsrente]])^-Tidstabel[[#This Row],[År]])*((1+PrisudviklingGenerelt)^Tidstabel[[#This Row],[År]]))),BlankTegn)</f>
        <v>.</v>
      </c>
      <c r="BK65" s="262" t="str">
        <f>IFERROR(IF(Tidstabel[[#This Row],[År]]&gt;Input_Tidshorisont,BlankTegn,
IF(Tidstabel[[#This Row],[År]]=0,0,Tidstabel[[#This Row],[VS_Uds?]]*-VS_Enhedspris*VS_Genoprettelse*((1+Tidstabel[[#This Row],[Kalkulationsrente]])^-Tidstabel[[#This Row],[År]])*((1+PrisudviklingGenerelt)^Tidstabel[[#This Row],[År]]))),BlankTegn)</f>
        <v>.</v>
      </c>
      <c r="BL65" s="245" t="str">
        <f>IFERROR(IF(Tidstabel[[#This Row],[År]]&gt;Input_Tidshorisont,BlankTegn,
IF(Tidstabel[[#This Row],[År]]=0,-EI_Enhedspris,0)),BlankTegn)</f>
        <v>.</v>
      </c>
      <c r="BM65" s="245" t="str">
        <f>IFERROR(IF(Tidstabel[[#This Row],[År]]&gt;Input_Tidshorisont,BlankTegn,
IF(Tidstabel[[#This Row],[År]]=0,EI_Enhedspris/EI_Levetid,BM64*((1+Tidstabel[[#This Row],[Kalkulationsrente]])^-1)*((1+PrisudviklingGenerelt)^1))),BlankTegn)</f>
        <v>.</v>
      </c>
      <c r="BN65" s="178" t="str">
        <f ca="1">IFERROR(IF(Tidstabel[[#This Row],[År]]&gt;Input_Tidshorisont,BlankTegn,
IF(EI_Vedligehold_i=1,IF(Tidstabel[[#This Row],[EI_Uds?]]=0,1,0),IF(MAX(BN64:OFFSET(BO64,2-EI_Vedligehold_i,0),Tidstabel[[#This Row],[EI_Uds?]])=0,1,0))),BlankTegn)</f>
        <v>.</v>
      </c>
      <c r="BO65" s="178" t="str">
        <f>IFERROR(IF(Tidstabel[[#This Row],[År]]&gt;Input_Tidshorisont,BlankTegn,
IF(Tidstabel[[#This Row],[År]]=0,1,IF(MOD(Tidstabel[[#This Row],[År]],EI_Levetid)=0,1,IF(Tidstabel[[#This Row],[År]]=Input_Tidshorisont,0,0)))),BlankTegn)</f>
        <v>.</v>
      </c>
      <c r="BP65" s="245" t="str">
        <f>IFERROR(IF(Tidstabel[[#This Row],[År]]&gt;Input_Tidshorisont,BlankTegn,
EI_Vedligehold_p*-EI_Enhedspris*Tidstabel[[#This Row],[EI_Ved?]]*((1+Tidstabel[[#This Row],[Kalkulationsrente]])^-Tidstabel[[#This Row],[År]])*((1+PrisudviklingGenerelt)^Tidstabel[[#This Row],[År]])),BlankTegn)</f>
        <v>.</v>
      </c>
      <c r="BQ65" s="245" t="str">
        <f>IFERROR(IF(Tidstabel[[#This Row],[År]]&gt;Input_Tidshorisont,BlankTegn,
IF(Tidstabel[[#This Row],[År]]=0,EI_Enhedspris,SUM(BQ64:BR64)*((1+Tidstabel[[#This Row],[Kalkulationsrente]])^-1)*((1+PrisudviklingGenerelt)^1)-Tidstabel[[#This Row],[EI_Afskrivning]])),BlankTegn)</f>
        <v>.</v>
      </c>
      <c r="BR65" s="245" t="str">
        <f>IFERROR(IF(Tidstabel[[#This Row],[År]]&gt;Input_Tidshorisont,BlankTegn,
IF(Tidstabel[[#This Row],[År]]=0,0,Tidstabel[[#This Row],[EI_Uds?]]*EI_Enhedspris*((1+Tidstabel[[#This Row],[Kalkulationsrente]])^-Tidstabel[[#This Row],[År]])*((1+PrisudviklingGenerelt)^Tidstabel[[#This Row],[År]]))),BlankTegn)</f>
        <v>.</v>
      </c>
      <c r="BS65" s="262" t="str">
        <f>IFERROR(IF(Tidstabel[[#This Row],[År]]&gt;Input_Tidshorisont,BlankTegn,
IF(Tidstabel[[#This Row],[År]]=0,0,Tidstabel[[#This Row],[EI_Uds?]]*-EI_Enhedspris*EI_Genoprettelse*((1+Tidstabel[[#This Row],[Kalkulationsrente]])^-Tidstabel[[#This Row],[År]])*((1+PrisudviklingGenerelt)^Tidstabel[[#This Row],[År]]))),BlankTegn)</f>
        <v>.</v>
      </c>
      <c r="BT65" s="245" t="str">
        <f>IFERROR(IF(Tidstabel[[#This Row],[År]]&gt;Input_Tidshorisont,BlankTegn,
IF(Tidstabel[[#This Row],[År]]=0,-AP_Enhedspris,0)),BlankTegn)</f>
        <v>.</v>
      </c>
      <c r="BU65" s="245" t="str">
        <f>IFERROR(IF(Tidstabel[[#This Row],[År]]&gt;Input_Tidshorisont,BlankTegn,
IF(Tidstabel[[#This Row],[År]]=0,AP_Enhedspris/AP_Levetid,BU64*((1+Tidstabel[[#This Row],[Kalkulationsrente]])^-1)*((1+PrisudviklingGenerelt)^1))),BlankTegn)</f>
        <v>.</v>
      </c>
      <c r="BV65" s="178" t="str">
        <f ca="1">IFERROR(IF(Tidstabel[[#This Row],[År]]&gt;Input_Tidshorisont,BlankTegn,
IF(AP_Vedligehold_i=1,IF(Tidstabel[[#This Row],[AP_Uds?]]=0,1,0),IF(MAX(BV64:OFFSET(BW64,2-AP_Vedligehold_i,0),Tidstabel[[#This Row],[AP_Uds?]])=0,1,0))),BlankTegn)</f>
        <v>.</v>
      </c>
      <c r="BW65" s="178" t="str">
        <f>IFERROR(IF(Tidstabel[[#This Row],[År]]&gt;Input_Tidshorisont,BlankTegn,
IF(Tidstabel[[#This Row],[År]]=0,1,IF(MOD(Tidstabel[[#This Row],[År]],AP_Levetid)=0,1,IF(Tidstabel[[#This Row],[År]]=Input_Tidshorisont,0,0)))),BlankTegn)</f>
        <v>.</v>
      </c>
      <c r="BX65" s="245" t="str">
        <f>IFERROR(IF(Tidstabel[[#This Row],[År]]&gt;Input_Tidshorisont,BlankTegn,
AP_Vedligehold_p*-AP_Enhedspris*Tidstabel[[#This Row],[AP_Ved?]]*((1+Tidstabel[[#This Row],[Kalkulationsrente]])^-Tidstabel[[#This Row],[År]])*((1+PrisudviklingGenerelt)^Tidstabel[[#This Row],[År]])),BlankTegn)</f>
        <v>.</v>
      </c>
      <c r="BY65" s="245" t="str">
        <f>IFERROR(IF(Tidstabel[[#This Row],[År]]&gt;Input_Tidshorisont,BlankTegn,
IF(Tidstabel[[#This Row],[År]]=0,AP_Enhedspris,SUM(BY64:BZ64)*((1+Tidstabel[[#This Row],[Kalkulationsrente]])^-1)*((1+PrisudviklingGenerelt)^1)-Tidstabel[[#This Row],[AP_Afskrivning]])),BlankTegn)</f>
        <v>.</v>
      </c>
      <c r="BZ65" s="245" t="str">
        <f>IFERROR(IF(Tidstabel[[#This Row],[År]]&gt;Input_Tidshorisont,BlankTegn,
IF(Tidstabel[[#This Row],[År]]=0,0,Tidstabel[[#This Row],[AP_Uds?]]*AP_Enhedspris*((1+Tidstabel[[#This Row],[Kalkulationsrente]])^-Tidstabel[[#This Row],[År]])*((1+PrisudviklingGenerelt)^Tidstabel[[#This Row],[År]]))),BlankTegn)</f>
        <v>.</v>
      </c>
      <c r="CA65" s="262" t="str">
        <f>IFERROR(IF(Tidstabel[[#This Row],[År]]&gt;Input_Tidshorisont,BlankTegn,
IF(Tidstabel[[#This Row],[År]]=0,0,Tidstabel[[#This Row],[AP_Uds?]]*-AP_Enhedspris*AP_Genoprettelse*((1+Tidstabel[[#This Row],[Kalkulationsrente]])^-Tidstabel[[#This Row],[År]])*((1+PrisudviklingGenerelt)^Tidstabel[[#This Row],[År]]))),BlankTegn)</f>
        <v>.</v>
      </c>
      <c r="CB65" s="245" t="str">
        <f>IFERROR(IF(Tidstabel[[#This Row],[År]]&gt;Input_Tidshorisont,BlankTegn,
IF(Tidstabel[[#This Row],[År]]=0,-SK_Enhedspris,0)),BlankTegn)</f>
        <v>.</v>
      </c>
      <c r="CC65" s="245" t="str">
        <f>IFERROR(IF(Tidstabel[[#This Row],[År]]&gt;Input_Tidshorisont,BlankTegn,
IF(Tidstabel[[#This Row],[År]]=0,SK_Enhedspris/SK_Levetid,CC64*((1+Tidstabel[[#This Row],[Kalkulationsrente]])^-1)*((1+PrisudviklingGenerelt)^1))),BlankTegn)</f>
        <v>.</v>
      </c>
      <c r="CD65" s="178" t="str">
        <f ca="1">IFERROR(IF(Tidstabel[[#This Row],[År]]&gt;Input_Tidshorisont,BlankTegn,
IF(SK_Vedligehold_i=1,IF(Tidstabel[[#This Row],[SK_Uds?]]=0,1,0),IF(MAX(CD64:OFFSET(CE64,2-SK_Vedligehold_i,0),Tidstabel[[#This Row],[SK_Uds?]])=0,1,0))),BlankTegn)</f>
        <v>.</v>
      </c>
      <c r="CE65" s="178" t="str">
        <f>IFERROR(IF(Tidstabel[[#This Row],[År]]&gt;Input_Tidshorisont,BlankTegn,
IF(Tidstabel[[#This Row],[År]]=0,1,IF(MOD(Tidstabel[[#This Row],[År]],SK_Levetid)=0,1,IF(Tidstabel[[#This Row],[År]]=Input_Tidshorisont,0,0)))),BlankTegn)</f>
        <v>.</v>
      </c>
      <c r="CF65" s="245" t="str">
        <f>IFERROR(IF(Tidstabel[[#This Row],[År]]&gt;Input_Tidshorisont,BlankTegn,
SK_Vedligehold_p*-SK_Enhedspris*Tidstabel[[#This Row],[SK_Ved?]]*((1+Tidstabel[[#This Row],[Kalkulationsrente]])^-Tidstabel[[#This Row],[År]])*((1+PrisudviklingGenerelt)^Tidstabel[[#This Row],[År]])),BlankTegn)</f>
        <v>.</v>
      </c>
      <c r="CG65" s="245" t="str">
        <f>IFERROR(IF(Tidstabel[[#This Row],[År]]&gt;Input_Tidshorisont,BlankTegn,
IF(Tidstabel[[#This Row],[År]]=0,SK_Enhedspris,SUM(CG64:CH64)*((1+Tidstabel[[#This Row],[Kalkulationsrente]])^-1)*((1+PrisudviklingGenerelt)^1)-Tidstabel[[#This Row],[SK_Afskrivning]])),BlankTegn)</f>
        <v>.</v>
      </c>
      <c r="CH65" s="245" t="str">
        <f>IFERROR(IF(Tidstabel[[#This Row],[År]]&gt;Input_Tidshorisont,BlankTegn,
IF(Tidstabel[[#This Row],[År]]=0,0,Tidstabel[[#This Row],[SK_Uds?]]*SK_Enhedspris*((1+Tidstabel[[#This Row],[Kalkulationsrente]])^-Tidstabel[[#This Row],[År]])*((1+PrisudviklingGenerelt)^Tidstabel[[#This Row],[År]]))),BlankTegn)</f>
        <v>.</v>
      </c>
      <c r="CI65" s="262" t="str">
        <f>IFERROR(IF(Tidstabel[[#This Row],[År]]&gt;Input_Tidshorisont,BlankTegn,
IF(Tidstabel[[#This Row],[År]]=0,0,Tidstabel[[#This Row],[SK_Uds?]]*-SK_Enhedspris*SK_Genoprettelse*((1+Tidstabel[[#This Row],[Kalkulationsrente]])^-Tidstabel[[#This Row],[År]])*((1+PrisudviklingGenerelt)^Tidstabel[[#This Row],[År]]))),BlankTegn)</f>
        <v>.</v>
      </c>
      <c r="CJ65" s="19"/>
    </row>
    <row r="66" spans="1:88">
      <c r="A66" s="250">
        <v>59</v>
      </c>
      <c r="B66" s="250">
        <f>Input_Etableringsår+Tidstabel[[#This Row],[År]]</f>
        <v>2083</v>
      </c>
      <c r="C66" s="274" cm="1">
        <f t="array" ref="C66">_xlfn.IFS(Tidstabel[[#This Row],[År]]&gt;KR_Trin3_Tærskel,KR_Trin3_Rente,Tidstabel[[#This Row],[År]]&gt;KR_Trin2_Tærskel,KR_Trin2_Rente,Tidstabel[[#This Row],[År]]&gt;KR_Trin1_Tærskel,KR_Trin1_Rente,Tidstabel[[#This Row],[År]]&gt;KR_Trin0_Tærskel,KR_Trin0_Rente)</f>
        <v>2.5000000000000001E-2</v>
      </c>
      <c r="D66" s="142" t="str" cm="1">
        <f t="array" ref="D66">IFERROR(
INDEX(Range_Materiale_ÅrligeEmissioner,MATCH(1,(Materialedata[Komponent]=FB_Titel)*(Materialedata[Materiale]=FB_Materiale),0),MATCH(Tidstabel[[#This Row],[År]],Range_Materiale_År,0)),BlankTegn)</f>
        <v>.</v>
      </c>
      <c r="E66" s="142" t="str" cm="1">
        <f t="array" ref="E66">IFERROR(
INDEX(Range_Materiale_ÅrligeEmissioner,MATCH(1,(Materialedata[Komponent]=SK_Titel)*(Materialedata[Materiale]=SK_Materiale),0),MATCH(Tidstabel[[#This Row],[År]],Range_Materiale_År,0)),BlankTegn)</f>
        <v>.</v>
      </c>
      <c r="F66" s="142" t="str" cm="1">
        <f t="array" ref="F66">IFERROR(
INDEX(Range_Materiale_ÅrligeEmissioner,MATCH(1,(Materialedata[Komponent]=EI_Titel)*(Materialedata[Materiale]=EI_Materiale),0),MATCH(Tidstabel[[#This Row],[År]],Range_Materiale_År,0)),BlankTegn)</f>
        <v>.</v>
      </c>
      <c r="G66" s="142" t="str" cm="1">
        <f t="array" ref="G66">IFERROR(
INDEX(Range_Materiale_ÅrligeEmissioner,MATCH(1,(Materialedata[Komponent]=AP_Titel)*(Materialedata[Materiale]=AP_Materiale),0),MATCH(Tidstabel[[#This Row],[År]],Range_Materiale_År,0)),BlankTegn)</f>
        <v>.</v>
      </c>
      <c r="H66" s="142" t="str" cm="1">
        <f t="array" ref="H66">IFERROR(
INDEX(Range_Materiale_ÅrligeEmissioner,MATCH(1,(Materialedata[Komponent]=VS_Titel)*(Materialedata[Materiale]=VS_Materiale),0),MATCH(Tidstabel[[#This Row],[År]],Range_Materiale_År,0)),BlankTegn)</f>
        <v>.</v>
      </c>
      <c r="I66" s="142" t="str">
        <f>IFERROR(
IF(SUM(Tidstabel[[#This Row],[Facadebeklædning]:[Vindspærre]])=0,BlankTegn,
SUM(Tidstabel[[#This Row],[Facadebeklædning]:[Vindspærre]])),BlankTegn)</f>
        <v>.</v>
      </c>
      <c r="J66" s="139" t="str">
        <f>IF(Tidstabel[[#This Row],[År]]&gt;Input_Tidshorisont,BlankTegn,
A5_ElVarmeBrændstofByggeplads)</f>
        <v>.</v>
      </c>
      <c r="K66" s="142" t="str">
        <f>IFERROR(IF(Tidstabel[[#This Row],[År]]&gt;Input_Tidshorisont,BlankTegn,
-1*INDEX(Range_Energi_ÅrligBesparelse,MATCH(Input_EksisterendeFacade,Energiberegning[Ydervæg],0),MATCH(Tidstabel[[#This Row],[Årstal]],Range_Energi_Årstal,0))),BlankTegn)</f>
        <v>.</v>
      </c>
      <c r="L66" s="142" t="str">
        <f>IF(Tidstabel[[#This Row],[År]]&gt;Input_Tidshorisont,BlankTegn,
(Tidstabel[[#This Row],[År]]+1)*(SUM(Vedligeholdelsesmaterialer[Facadefarve],Vedligeholdelsesmaterialer[Grunder og mellemmaling])/12+SUM(Vedligeholdelsesmaterialer[Puds])/30))</f>
        <v>.</v>
      </c>
      <c r="M66" s="142" t="str">
        <f>IFERROR(IF(Tidstabel[[#This Row],[År]]&gt;Input_Tidshorisont,BlankTegn,
Tidstabel[[#This Row],[Materialer_Total]]+Tidstabel[[#This Row],[Byggeprocess]]),BlankTegn)</f>
        <v>.</v>
      </c>
      <c r="N66" s="142" t="str">
        <f>IFERROR(IF(Tidstabel[[#This Row],[År]]&gt;Input_Tidshorisont,BlankTegn,
Tidstabel[[#This Row],[Energibesparelse]]+Tidstabel[[#This Row],[Emission_Brutto]]),BlankTegn)</f>
        <v>.</v>
      </c>
      <c r="O66" s="142" t="str">
        <f>IFERROR(IF(Tidstabel[[#This Row],[År]]&gt;Input_Tidshorisont,BlankTegn,
Tidstabel[[#This Row],[Emission_Netto]]-Tidstabel[[#This Row],[Vedligehold_EksisterendeFacade]]),BlankTegn)</f>
        <v>.</v>
      </c>
      <c r="P66" s="271" t="str">
        <f>IFERROR(IF(Tidstabel[[#This Row],[År]]&gt;Input_Tidshorisont,BlankTegn,
IF(AND(Tidstabel[[#This Row],[Emission_Netto]]-Tidstabel[[#This Row],[Vedligehold_EksisterendeFacade]]&gt;0,N67-L67&lt;0),-1,IF(AND(Tidstabel[[#This Row],[Emission_Netto]]-Tidstabel[[#This Row],[Vedligehold_EksisterendeFacade]]&lt;0,N67-L67&gt;0),1,0))),BlankTegn)</f>
        <v>.</v>
      </c>
      <c r="Q66" s="174" t="str">
        <f>IF(Tidstabel[[#This Row],[År]]&gt;Input_Tidshorisont,BlankTegn,
IF(Tidstabel[[#This Row],[LCA-Skæring]]=-1,SUM(Tidstabel[[#This Row],[År]]*(1-ABS(Tidstabel[[#This Row],[LCA-Difference]])/(ABS(Tidstabel[[#This Row],[LCA-Difference]])+ABS(O67))),A67*(1-ABS(O67)/(ABS(Tidstabel[[#This Row],[LCA-Difference]])+ABS(O67)))),"-"))</f>
        <v>.</v>
      </c>
      <c r="R66" s="174" t="str">
        <f>IF(Tidstabel[[#This Row],[År]]&gt;Input_Tidshorisont,BlankTegn,
IF(Tidstabel[[#This Row],[LCA-Skæring]]=-1,SUM(Tidstabel[[#This Row],[Emission_Netto]]*(1-ABS(Tidstabel[[#This Row],[LCA-Difference]])/(ABS(Tidstabel[[#This Row],[LCA-Difference]])+ABS(O67))),N67*(1-ABS(O67)/(ABS(Tidstabel[[#This Row],[LCA-Difference]])+ABS(O67)))),"-"))</f>
        <v>.</v>
      </c>
      <c r="S66" s="174" t="str">
        <f>IF(Tidstabel[[#This Row],[År]]&gt;Input_Tidshorisont,BlankTegn,
IF(Tidstabel[[#This Row],[LCA-Skæring]]=1,SUM(Tidstabel[[#This Row],[År]]*(1-ABS(Tidstabel[[#This Row],[LCA-Difference]])/(ABS(Tidstabel[[#This Row],[LCA-Difference]])+ABS(O67))),A67*(1-ABS(O67)/(ABS(Tidstabel[[#This Row],[LCA-Difference]])+ABS(O67)))),"-"))</f>
        <v>.</v>
      </c>
      <c r="T66" s="264" t="str">
        <f>IF(Tidstabel[[#This Row],[År]]&gt;Input_Tidshorisont,BlankTegn,
IF(Tidstabel[[#This Row],[LCA-Skæring]]=1,SUM(Tidstabel[[#This Row],[Emission_Netto]]*(1-ABS(Tidstabel[[#This Row],[LCA-Difference]])/(ABS(Tidstabel[[#This Row],[LCA-Difference]])+ABS(O67))),N67*(1-ABS(O67)/(ABS(Tidstabel[[#This Row],[LCA-Difference]])+ABS(O67)))),"-"))</f>
        <v>.</v>
      </c>
      <c r="U66" s="142" t="str">
        <f>IFERROR(IF(Tidstabel[[#This Row],[År]]&gt;Input_Tidshorisont,BlankTegn,
Tidstabel[[#This Row],[NPV_Klimafacade]]-Tidstabel[[#This Row],[NPV_Eksisterende]]),BlankTegn)</f>
        <v>.</v>
      </c>
      <c r="V66" s="271" t="str">
        <f>IFERROR(IF(Tidstabel[[#This Row],[År]]&gt;Input_Tidshorisont,BlankTegn,
IF(AND(Tidstabel[[#This Row],[NPV_Klimafacade]]-Tidstabel[[#This Row],[NPV_Eksisterende]]&gt;0,AB67-AA67&lt;0),1,IF(AND(Tidstabel[[#This Row],[NPV_Klimafacade]]-Tidstabel[[#This Row],[NPV_Eksisterende]]&lt;0,AB67-AA67&gt;0),-1,0))),BlankTegn)</f>
        <v>.</v>
      </c>
      <c r="W66" s="174" t="str">
        <f>IF(Tidstabel[[#This Row],[År]]&gt;Input_Tidshorisont,BlankTegn,
IF(Tidstabel[[#This Row],[LCC-Skæring]]=-1,SUM(Tidstabel[[#This Row],[År]]*(1-ABS(Tidstabel[[#This Row],[LCC-Difference]])/(ABS(Tidstabel[[#This Row],[LCC-Difference]])+ABS(U67))),A67*(1-ABS(U67)/(ABS(Tidstabel[[#This Row],[LCC-Difference]])+ABS(U67)))),"-"))</f>
        <v>.</v>
      </c>
      <c r="X66" s="174" t="str">
        <f>IF(Tidstabel[[#This Row],[År]]&gt;Input_Tidshorisont,BlankTegn,
IF(Tidstabel[[#This Row],[LCC-Skæring]]=-1,SUM(Tidstabel[[#This Row],[NPV_Klimafacade]]*(1-ABS(Tidstabel[[#This Row],[LCC-Difference]])/(ABS(Tidstabel[[#This Row],[LCC-Difference]])+ABS(U67))),AB67*(1-ABS(U67)/(ABS(Tidstabel[[#This Row],[LCC-Difference]])+ABS(U67)))),"-"))</f>
        <v>.</v>
      </c>
      <c r="Y66" s="174" t="str">
        <f>IF(Tidstabel[[#This Row],[År]]&gt;Input_Tidshorisont,BlankTegn,
IF(Tidstabel[[#This Row],[LCC-Skæring]]=1,SUM(Tidstabel[[#This Row],[År]]*(1-ABS(Tidstabel[[#This Row],[LCC-Difference]])/(ABS(Tidstabel[[#This Row],[LCC-Difference]])+ABS(U67))),A67*(1-ABS(U67)/(ABS(Tidstabel[[#This Row],[LCC-Difference]])+ABS(U67)))),"-"))</f>
        <v>.</v>
      </c>
      <c r="Z66" s="264" t="str">
        <f>IF(Tidstabel[[#This Row],[År]]&gt;Input_Tidshorisont,BlankTegn,
IF(Tidstabel[[#This Row],[LCC-Skæring]]=1,SUM(Tidstabel[[#This Row],[NPV_Klimafacade]]*(1-ABS(Tidstabel[[#This Row],[LCC-Difference]])/(ABS(Tidstabel[[#This Row],[LCC-Difference]])+ABS(U67))),AB67*(1-ABS(U67)/(ABS(Tidstabel[[#This Row],[LCC-Difference]])+ABS(U67)))),"-"))</f>
        <v>.</v>
      </c>
      <c r="AA66" s="142" t="str">
        <f>IF(Tidstabel[[#This Row],[År]]&gt;Input_Tidshorisont,BlankTegn,
Tidstabel[[#This Row],[EF_Vedligehold_Aggregeret]])</f>
        <v>.</v>
      </c>
      <c r="AB66"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66" s="142" t="str">
        <f>IFERROR(IF(Tidstabel[[#This Row],[År]]&gt;Input_Tidshorisont,BlankTegn,
Tidstabel[[#This Row],[KF_Anskaffelse_Aggregeret]]+Tidstabel[[#This Row],[KF_Engangsudgifter_Aggregeret]]),BlankTegn)</f>
        <v>.</v>
      </c>
      <c r="AD66" s="174" t="str">
        <f>IFERROR(IF(Tidstabel[[#This Row],[År]]&gt;Input_Tidshorisont,BlankTegn,
IF(Tidstabel[[#This Row],[År]]=0,0,Tidstabel[[#This Row],[NPV_Eksisterende]]*(Tidstabel[[#This Row],[Kalkulationsrente]]/(1-(1+Tidstabel[[#This Row],[Kalkulationsrente]])^-Tidstabel[[#This Row],[År]])))),BlankTegn)</f>
        <v>.</v>
      </c>
      <c r="AE66" s="264" t="str">
        <f>IFERROR(IF(Tidstabel[[#This Row],[År]]&gt;Input_Tidshorisont,BlankTegn,
IF(Tidstabel[[#This Row],[År]]=0,0,Tidstabel[[#This Row],[NPV_Klimafacade]]*(Tidstabel[[#This Row],[Kalkulationsrente]]/(1-(1+Tidstabel[[#This Row],[Kalkulationsrente]])^-Tidstabel[[#This Row],[År]])))),BlankTegn)</f>
        <v>.</v>
      </c>
      <c r="AF66" s="270" t="str">
        <f ca="1">IF(Tidstabel[[#This Row],[År]]&gt;Input_Tidshorisont,BlankTegn,
IF(EF_Vedligehold_i=1,IF(Tidstabel[[#This Row],[EF_Uds?]]=0,1,0),IF(MAX(AF65:OFFSET(AG65,2-EF_Vedligehold_i,0),Tidstabel[[#This Row],[EF_Uds?]])=0,1,0)))</f>
        <v>.</v>
      </c>
      <c r="AG66" s="181" t="str">
        <f>IF(Tidstabel[[#This Row],[År]]&gt;Input_Tidshorisont,BlankTegn,0)</f>
        <v>.</v>
      </c>
      <c r="AH66" s="263" t="str">
        <f>IF(Tidstabel[[#This Row],[År]]&gt;Input_Tidshorisont,BlankTegn,
Tidstabel[[#This Row],[EF_Ved?]]*EF_Vedligehold_p*-EF_Enhedspris*((1+Tidstabel[[#This Row],[Kalkulationsrente]])^-Tidstabel[[#This Row],[År]])*((1+PrisudviklingGenerelt)^Tidstabel[[#This Row],[År]]))</f>
        <v>.</v>
      </c>
      <c r="AI66" s="262" t="str">
        <f>IF(Tidstabel[[#This Row],[År]]&gt;Input_Tidshorisont,BlankTegn,
IF(Tidstabel[[#This Row],[År]]=0,Tidstabel[[#This Row],[EF_Vedligehold]],AI65+Tidstabel[[#This Row],[EF_Vedligehold]]))</f>
        <v>.</v>
      </c>
      <c r="AJ66" s="245" t="str">
        <f>IFERROR(IF(Tidstabel[[#This Row],[År]]&gt;Input_Tidshorisont,BlankTegn,
Tidstabel[[#This Row],[FB_Anskaffelse]]+Tidstabel[[#This Row],[VS_Anskaffelse]]+Tidstabel[[#This Row],[EI_Anskaffelse]]+Tidstabel[[#This Row],[AP_Anskaffelse]]+Tidstabel[[#This Row],[SK_Anskaffelse]]),BlankTegn)</f>
        <v>.</v>
      </c>
      <c r="AK66" s="245" t="str">
        <f>IFERROR(IF(Tidstabel[[#This Row],[År]]&gt;Input_Tidshorisont,BlankTegn,
IF(Tidstabel[[#This Row],[År]]=0,Tidstabel[[#This Row],[KF_Anskaffelse]],AK65+Tidstabel[[#This Row],[KF_Anskaffelse]])),BlankTegn)</f>
        <v>.</v>
      </c>
      <c r="AL66" s="246" t="str">
        <f>IFERROR(IF(Tidstabel[[#This Row],[År]]&gt;Input_Tidshorisont,BlankTegn,
Tidstabel[[#This Row],[FB_Vedligehold]]+Tidstabel[[#This Row],[VS_Vedligehold]]+Tidstabel[[#This Row],[EI_Vedligehold]]+Tidstabel[[#This Row],[AP_Vedligehold]]+Tidstabel[[#This Row],[SK_Vedligehold]]),BlankTegn)</f>
        <v>.</v>
      </c>
      <c r="AM66" s="245" t="str">
        <f>IFERROR(IF(Tidstabel[[#This Row],[År]]&gt;Input_Tidshorisont,BlankTegn,
IF(Tidstabel[[#This Row],[År]]=0,Tidstabel[[#This Row],[KF_Vedligehold]],AM65+Tidstabel[[#This Row],[KF_Vedligehold]])),BlankTegn)</f>
        <v>.</v>
      </c>
      <c r="AN66"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66"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66" s="245" t="str">
        <f>IFERROR(IF(Tidstabel[[#This Row],[År]]&gt;Input_Tidshorisont,BlankTegn,
IF(Tidstabel[[#This Row],[År]]=0,Tidstabel[[#This Row],[KF_Udskiftning_Komponent]],AP65+Tidstabel[[#This Row],[KF_Udskiftning_Komponent]])),BlankTegn)</f>
        <v>.</v>
      </c>
      <c r="AQ66" s="245" t="str">
        <f>IF(Tidstabel[[#This Row],[År]]&gt;Input_Tidshorisont,BlankTegn,
IF(Tidstabel[[#This Row],[År]]=0,-SUM(Engangsudgifter[Udgift]),0))</f>
        <v>.</v>
      </c>
      <c r="AR66" s="245" t="str">
        <f>IFERROR(IF(Tidstabel[[#This Row],[År]]&gt;Input_Tidshorisont,BlankTegn,
IF(Tidstabel[[#This Row],[År]]=0,Tidstabel[[#This Row],[KF_Engangsudgifter]],AR65+Tidstabel[[#This Row],[KF_Engangsudgifter]])),BlankTegn)</f>
        <v>.</v>
      </c>
      <c r="AS66" s="315" t="str">
        <f>IFERROR(IF(Tidstabel[[#This Row],[År]]&gt;Input_Tidshorisont,BlankTegn,
-Energibesparelse_Årlig),BlankTegn)</f>
        <v>.</v>
      </c>
      <c r="AT66" s="245" t="str">
        <f>IFERROR(IF(Tidstabel[[#This Row],[År]]&gt;Input_Tidshorisont,BlankTegn,
IF(Tidstabel[[#This Row],[År]]=0,0,-Tidstabel[[#This Row],[KF_Energiforbrug]]*Input_Fjernvarmepris*((1+Tidstabel[[#This Row],[Kalkulationsrente]])^-Tidstabel[[#This Row],[År]])*((1+PrisudviklingFjernvarme)^Tidstabel[[#This Row],[År]]))),BlankTegn)</f>
        <v>.</v>
      </c>
      <c r="AU66" s="262" t="str">
        <f>IFERROR(IF(Tidstabel[[#This Row],[År]]&gt;Input_Tidshorisont,BlankTegn,
IF(Tidstabel[[#This Row],[År]]=0,Tidstabel[[#This Row],[KF_Forsyning]],AU65+Tidstabel[[#This Row],[KF_Forsyning]])),BlankTegn)</f>
        <v>.</v>
      </c>
      <c r="AV66" s="245" t="str">
        <f>IFERROR(IF(Tidstabel[[#This Row],[År]]&gt;Input_Tidshorisont,BlankTegn,
IF(Tidstabel[[#This Row],[År]]=0,-FB_Enhedspris,0)),BlankTegn)</f>
        <v>.</v>
      </c>
      <c r="AW66" s="245" t="str">
        <f>IFERROR(IF(Tidstabel[[#This Row],[År]]&gt;Input_Tidshorisont,BlankTegn,
IF(Tidstabel[[#This Row],[År]]=0,FB_Enhedspris/FB_Levetid,AW65*((1+Tidstabel[[#This Row],[Kalkulationsrente]])^-1)*((1+PrisudviklingGenerelt)^1))),BlankTegn)</f>
        <v>.</v>
      </c>
      <c r="AX66" s="178" t="str">
        <f ca="1">IFERROR(IF(Tidstabel[[#This Row],[År]]&gt;Input_Tidshorisont,BlankTegn,
IF(FB_Vedligehold_i=1,IF(Tidstabel[[#This Row],[FB_Uds?]]=0,1,0),IF(MAX(AX65:OFFSET(AY65,2-FB_Vedligehold_i,0),Tidstabel[[#This Row],[FB_Uds?]])=0,1,0))),BlankTegn)</f>
        <v>.</v>
      </c>
      <c r="AY66" s="178" t="str">
        <f>IFERROR(IF(Tidstabel[[#This Row],[År]]&gt;Input_Tidshorisont,BlankTegn,
IF(Tidstabel[[#This Row],[År]]=0,1,IF(MOD(Tidstabel[[#This Row],[År]],FB_Levetid)=0,1,IF(Tidstabel[[#This Row],[År]]=Input_Tidshorisont,0,0)))),BlankTegn)</f>
        <v>.</v>
      </c>
      <c r="AZ66" s="245" t="str">
        <f>IFERROR(IF(Tidstabel[[#This Row],[År]]&gt;Input_Tidshorisont,BlankTegn,
FB_Vedligehold_p*-FB_Enhedspris*Tidstabel[[#This Row],[FB_Ved?]]*((1+Tidstabel[[#This Row],[Kalkulationsrente]])^-Tidstabel[[#This Row],[År]])*((1+PrisudviklingGenerelt)^Tidstabel[[#This Row],[År]])),BlankTegn)</f>
        <v>.</v>
      </c>
      <c r="BA66" s="245" t="str">
        <f>IFERROR(IF(Tidstabel[[#This Row],[År]]&gt;Input_Tidshorisont,BlankTegn,
IF(Tidstabel[[#This Row],[År]]=0,FB_Enhedspris,SUM(BA65:BB65)*((1+Tidstabel[[#This Row],[Kalkulationsrente]])^-1)*((1+PrisudviklingGenerelt)^1)-Tidstabel[[#This Row],[FB_Afskrivning]])),BlankTegn)</f>
        <v>.</v>
      </c>
      <c r="BB66" s="245" t="str">
        <f>IFERROR(IF(Tidstabel[[#This Row],[År]]&gt;Input_Tidshorisont,BlankTegn,
IF(Tidstabel[[#This Row],[År]]=0,0,Tidstabel[[#This Row],[FB_Uds?]]*FB_Enhedspris*((1+Tidstabel[[#This Row],[Kalkulationsrente]])^-Tidstabel[[#This Row],[År]])*((1+PrisudviklingGenerelt)^Tidstabel[[#This Row],[År]]))),BlankTegn)</f>
        <v>.</v>
      </c>
      <c r="BC66" s="262" t="str">
        <f>IFERROR(IF(Tidstabel[[#This Row],[År]]&gt;Input_Tidshorisont,BlankTegn,
IF(Tidstabel[[#This Row],[År]]=0,0,Tidstabel[[#This Row],[FB_Uds?]]*-FB_Enhedspris*FB_Genoprettelse*((1+Tidstabel[[#This Row],[Kalkulationsrente]])^-Tidstabel[[#This Row],[År]])*((1+PrisudviklingGenerelt)^Tidstabel[[#This Row],[År]]))),BlankTegn)</f>
        <v>.</v>
      </c>
      <c r="BD66" s="245" t="str">
        <f>IFERROR(IF(Tidstabel[[#This Row],[År]]&gt;Input_Tidshorisont,BlankTegn,
IF(Tidstabel[[#This Row],[År]]=0,-VS_Enhedspris,0)),BlankTegn)</f>
        <v>.</v>
      </c>
      <c r="BE66" s="245" t="str">
        <f>IFERROR(IF(Tidstabel[[#This Row],[År]]&gt;Input_Tidshorisont,BlankTegn,
IF(Tidstabel[[#This Row],[År]]=0,VS_Enhedspris/VS_Levetid,BE65*((1+Tidstabel[[#This Row],[Kalkulationsrente]])^-1)*((1+PrisudviklingGenerelt)^1))),BlankTegn)</f>
        <v>.</v>
      </c>
      <c r="BF66" s="178" t="str">
        <f ca="1">IFERROR(IF(Tidstabel[[#This Row],[År]]&gt;Input_Tidshorisont,BlankTegn,
IF(VS_Vedligehold_i=1,IF(Tidstabel[[#This Row],[VS_Uds?]]=0,1,0),IF(MAX(BF65:OFFSET(BG65,2-VS_Vedligehold_i,0),Tidstabel[[#This Row],[VS_Uds?]])=0,1,0))),BlankTegn)</f>
        <v>.</v>
      </c>
      <c r="BG66" s="178" t="str">
        <f>IFERROR(IF(Tidstabel[[#This Row],[År]]&gt;Input_Tidshorisont,BlankTegn,
IF(Tidstabel[[#This Row],[År]]=0,1,IF(MOD(Tidstabel[[#This Row],[År]],VS_Levetid)=0,1,IF(Tidstabel[[#This Row],[År]]=Input_Tidshorisont,0,0)))),BlankTegn)</f>
        <v>.</v>
      </c>
      <c r="BH66" s="245" t="str">
        <f>IFERROR(IF(Tidstabel[[#This Row],[År]]&gt;Input_Tidshorisont,BlankTegn,
VS_Vedligehold_p*-VS_Enhedspris*Tidstabel[[#This Row],[VS_Ved?]]*((1+Tidstabel[[#This Row],[Kalkulationsrente]])^-Tidstabel[[#This Row],[År]])*((1+PrisudviklingGenerelt)^Tidstabel[[#This Row],[År]])),BlankTegn)</f>
        <v>.</v>
      </c>
      <c r="BI66" s="245" t="str">
        <f>IFERROR(IF(Tidstabel[[#This Row],[År]]&gt;Input_Tidshorisont,BlankTegn,
IF(Tidstabel[[#This Row],[År]]=0,VS_Enhedspris,SUM(BI65:BJ65)*((1+Tidstabel[[#This Row],[Kalkulationsrente]])^-1)*((1+PrisudviklingGenerelt)^1)-Tidstabel[[#This Row],[VS_Afskrivning]])),BlankTegn)</f>
        <v>.</v>
      </c>
      <c r="BJ66" s="245" t="str">
        <f>IFERROR(IF(Tidstabel[[#This Row],[År]]&gt;Input_Tidshorisont,BlankTegn,
IF(Tidstabel[[#This Row],[År]]=0,0,Tidstabel[[#This Row],[VS_Uds?]]*VS_Enhedspris*((1+Tidstabel[[#This Row],[Kalkulationsrente]])^-Tidstabel[[#This Row],[År]])*((1+PrisudviklingGenerelt)^Tidstabel[[#This Row],[År]]))),BlankTegn)</f>
        <v>.</v>
      </c>
      <c r="BK66" s="262" t="str">
        <f>IFERROR(IF(Tidstabel[[#This Row],[År]]&gt;Input_Tidshorisont,BlankTegn,
IF(Tidstabel[[#This Row],[År]]=0,0,Tidstabel[[#This Row],[VS_Uds?]]*-VS_Enhedspris*VS_Genoprettelse*((1+Tidstabel[[#This Row],[Kalkulationsrente]])^-Tidstabel[[#This Row],[År]])*((1+PrisudviklingGenerelt)^Tidstabel[[#This Row],[År]]))),BlankTegn)</f>
        <v>.</v>
      </c>
      <c r="BL66" s="245" t="str">
        <f>IFERROR(IF(Tidstabel[[#This Row],[År]]&gt;Input_Tidshorisont,BlankTegn,
IF(Tidstabel[[#This Row],[År]]=0,-EI_Enhedspris,0)),BlankTegn)</f>
        <v>.</v>
      </c>
      <c r="BM66" s="245" t="str">
        <f>IFERROR(IF(Tidstabel[[#This Row],[År]]&gt;Input_Tidshorisont,BlankTegn,
IF(Tidstabel[[#This Row],[År]]=0,EI_Enhedspris/EI_Levetid,BM65*((1+Tidstabel[[#This Row],[Kalkulationsrente]])^-1)*((1+PrisudviklingGenerelt)^1))),BlankTegn)</f>
        <v>.</v>
      </c>
      <c r="BN66" s="178" t="str">
        <f ca="1">IFERROR(IF(Tidstabel[[#This Row],[År]]&gt;Input_Tidshorisont,BlankTegn,
IF(EI_Vedligehold_i=1,IF(Tidstabel[[#This Row],[EI_Uds?]]=0,1,0),IF(MAX(BN65:OFFSET(BO65,2-EI_Vedligehold_i,0),Tidstabel[[#This Row],[EI_Uds?]])=0,1,0))),BlankTegn)</f>
        <v>.</v>
      </c>
      <c r="BO66" s="178" t="str">
        <f>IFERROR(IF(Tidstabel[[#This Row],[År]]&gt;Input_Tidshorisont,BlankTegn,
IF(Tidstabel[[#This Row],[År]]=0,1,IF(MOD(Tidstabel[[#This Row],[År]],EI_Levetid)=0,1,IF(Tidstabel[[#This Row],[År]]=Input_Tidshorisont,0,0)))),BlankTegn)</f>
        <v>.</v>
      </c>
      <c r="BP66" s="245" t="str">
        <f>IFERROR(IF(Tidstabel[[#This Row],[År]]&gt;Input_Tidshorisont,BlankTegn,
EI_Vedligehold_p*-EI_Enhedspris*Tidstabel[[#This Row],[EI_Ved?]]*((1+Tidstabel[[#This Row],[Kalkulationsrente]])^-Tidstabel[[#This Row],[År]])*((1+PrisudviklingGenerelt)^Tidstabel[[#This Row],[År]])),BlankTegn)</f>
        <v>.</v>
      </c>
      <c r="BQ66" s="245" t="str">
        <f>IFERROR(IF(Tidstabel[[#This Row],[År]]&gt;Input_Tidshorisont,BlankTegn,
IF(Tidstabel[[#This Row],[År]]=0,EI_Enhedspris,SUM(BQ65:BR65)*((1+Tidstabel[[#This Row],[Kalkulationsrente]])^-1)*((1+PrisudviklingGenerelt)^1)-Tidstabel[[#This Row],[EI_Afskrivning]])),BlankTegn)</f>
        <v>.</v>
      </c>
      <c r="BR66" s="245" t="str">
        <f>IFERROR(IF(Tidstabel[[#This Row],[År]]&gt;Input_Tidshorisont,BlankTegn,
IF(Tidstabel[[#This Row],[År]]=0,0,Tidstabel[[#This Row],[EI_Uds?]]*EI_Enhedspris*((1+Tidstabel[[#This Row],[Kalkulationsrente]])^-Tidstabel[[#This Row],[År]])*((1+PrisudviklingGenerelt)^Tidstabel[[#This Row],[År]]))),BlankTegn)</f>
        <v>.</v>
      </c>
      <c r="BS66" s="262" t="str">
        <f>IFERROR(IF(Tidstabel[[#This Row],[År]]&gt;Input_Tidshorisont,BlankTegn,
IF(Tidstabel[[#This Row],[År]]=0,0,Tidstabel[[#This Row],[EI_Uds?]]*-EI_Enhedspris*EI_Genoprettelse*((1+Tidstabel[[#This Row],[Kalkulationsrente]])^-Tidstabel[[#This Row],[År]])*((1+PrisudviklingGenerelt)^Tidstabel[[#This Row],[År]]))),BlankTegn)</f>
        <v>.</v>
      </c>
      <c r="BT66" s="245" t="str">
        <f>IFERROR(IF(Tidstabel[[#This Row],[År]]&gt;Input_Tidshorisont,BlankTegn,
IF(Tidstabel[[#This Row],[År]]=0,-AP_Enhedspris,0)),BlankTegn)</f>
        <v>.</v>
      </c>
      <c r="BU66" s="245" t="str">
        <f>IFERROR(IF(Tidstabel[[#This Row],[År]]&gt;Input_Tidshorisont,BlankTegn,
IF(Tidstabel[[#This Row],[År]]=0,AP_Enhedspris/AP_Levetid,BU65*((1+Tidstabel[[#This Row],[Kalkulationsrente]])^-1)*((1+PrisudviklingGenerelt)^1))),BlankTegn)</f>
        <v>.</v>
      </c>
      <c r="BV66" s="178" t="str">
        <f ca="1">IFERROR(IF(Tidstabel[[#This Row],[År]]&gt;Input_Tidshorisont,BlankTegn,
IF(AP_Vedligehold_i=1,IF(Tidstabel[[#This Row],[AP_Uds?]]=0,1,0),IF(MAX(BV65:OFFSET(BW65,2-AP_Vedligehold_i,0),Tidstabel[[#This Row],[AP_Uds?]])=0,1,0))),BlankTegn)</f>
        <v>.</v>
      </c>
      <c r="BW66" s="178" t="str">
        <f>IFERROR(IF(Tidstabel[[#This Row],[År]]&gt;Input_Tidshorisont,BlankTegn,
IF(Tidstabel[[#This Row],[År]]=0,1,IF(MOD(Tidstabel[[#This Row],[År]],AP_Levetid)=0,1,IF(Tidstabel[[#This Row],[År]]=Input_Tidshorisont,0,0)))),BlankTegn)</f>
        <v>.</v>
      </c>
      <c r="BX66" s="245" t="str">
        <f>IFERROR(IF(Tidstabel[[#This Row],[År]]&gt;Input_Tidshorisont,BlankTegn,
AP_Vedligehold_p*-AP_Enhedspris*Tidstabel[[#This Row],[AP_Ved?]]*((1+Tidstabel[[#This Row],[Kalkulationsrente]])^-Tidstabel[[#This Row],[År]])*((1+PrisudviklingGenerelt)^Tidstabel[[#This Row],[År]])),BlankTegn)</f>
        <v>.</v>
      </c>
      <c r="BY66" s="245" t="str">
        <f>IFERROR(IF(Tidstabel[[#This Row],[År]]&gt;Input_Tidshorisont,BlankTegn,
IF(Tidstabel[[#This Row],[År]]=0,AP_Enhedspris,SUM(BY65:BZ65)*((1+Tidstabel[[#This Row],[Kalkulationsrente]])^-1)*((1+PrisudviklingGenerelt)^1)-Tidstabel[[#This Row],[AP_Afskrivning]])),BlankTegn)</f>
        <v>.</v>
      </c>
      <c r="BZ66" s="245" t="str">
        <f>IFERROR(IF(Tidstabel[[#This Row],[År]]&gt;Input_Tidshorisont,BlankTegn,
IF(Tidstabel[[#This Row],[År]]=0,0,Tidstabel[[#This Row],[AP_Uds?]]*AP_Enhedspris*((1+Tidstabel[[#This Row],[Kalkulationsrente]])^-Tidstabel[[#This Row],[År]])*((1+PrisudviklingGenerelt)^Tidstabel[[#This Row],[År]]))),BlankTegn)</f>
        <v>.</v>
      </c>
      <c r="CA66" s="262" t="str">
        <f>IFERROR(IF(Tidstabel[[#This Row],[År]]&gt;Input_Tidshorisont,BlankTegn,
IF(Tidstabel[[#This Row],[År]]=0,0,Tidstabel[[#This Row],[AP_Uds?]]*-AP_Enhedspris*AP_Genoprettelse*((1+Tidstabel[[#This Row],[Kalkulationsrente]])^-Tidstabel[[#This Row],[År]])*((1+PrisudviklingGenerelt)^Tidstabel[[#This Row],[År]]))),BlankTegn)</f>
        <v>.</v>
      </c>
      <c r="CB66" s="245" t="str">
        <f>IFERROR(IF(Tidstabel[[#This Row],[År]]&gt;Input_Tidshorisont,BlankTegn,
IF(Tidstabel[[#This Row],[År]]=0,-SK_Enhedspris,0)),BlankTegn)</f>
        <v>.</v>
      </c>
      <c r="CC66" s="245" t="str">
        <f>IFERROR(IF(Tidstabel[[#This Row],[År]]&gt;Input_Tidshorisont,BlankTegn,
IF(Tidstabel[[#This Row],[År]]=0,SK_Enhedspris/SK_Levetid,CC65*((1+Tidstabel[[#This Row],[Kalkulationsrente]])^-1)*((1+PrisudviklingGenerelt)^1))),BlankTegn)</f>
        <v>.</v>
      </c>
      <c r="CD66" s="178" t="str">
        <f ca="1">IFERROR(IF(Tidstabel[[#This Row],[År]]&gt;Input_Tidshorisont,BlankTegn,
IF(SK_Vedligehold_i=1,IF(Tidstabel[[#This Row],[SK_Uds?]]=0,1,0),IF(MAX(CD65:OFFSET(CE65,2-SK_Vedligehold_i,0),Tidstabel[[#This Row],[SK_Uds?]])=0,1,0))),BlankTegn)</f>
        <v>.</v>
      </c>
      <c r="CE66" s="178" t="str">
        <f>IFERROR(IF(Tidstabel[[#This Row],[År]]&gt;Input_Tidshorisont,BlankTegn,
IF(Tidstabel[[#This Row],[År]]=0,1,IF(MOD(Tidstabel[[#This Row],[År]],SK_Levetid)=0,1,IF(Tidstabel[[#This Row],[År]]=Input_Tidshorisont,0,0)))),BlankTegn)</f>
        <v>.</v>
      </c>
      <c r="CF66" s="245" t="str">
        <f>IFERROR(IF(Tidstabel[[#This Row],[År]]&gt;Input_Tidshorisont,BlankTegn,
SK_Vedligehold_p*-SK_Enhedspris*Tidstabel[[#This Row],[SK_Ved?]]*((1+Tidstabel[[#This Row],[Kalkulationsrente]])^-Tidstabel[[#This Row],[År]])*((1+PrisudviklingGenerelt)^Tidstabel[[#This Row],[År]])),BlankTegn)</f>
        <v>.</v>
      </c>
      <c r="CG66" s="245" t="str">
        <f>IFERROR(IF(Tidstabel[[#This Row],[År]]&gt;Input_Tidshorisont,BlankTegn,
IF(Tidstabel[[#This Row],[År]]=0,SK_Enhedspris,SUM(CG65:CH65)*((1+Tidstabel[[#This Row],[Kalkulationsrente]])^-1)*((1+PrisudviklingGenerelt)^1)-Tidstabel[[#This Row],[SK_Afskrivning]])),BlankTegn)</f>
        <v>.</v>
      </c>
      <c r="CH66" s="245" t="str">
        <f>IFERROR(IF(Tidstabel[[#This Row],[År]]&gt;Input_Tidshorisont,BlankTegn,
IF(Tidstabel[[#This Row],[År]]=0,0,Tidstabel[[#This Row],[SK_Uds?]]*SK_Enhedspris*((1+Tidstabel[[#This Row],[Kalkulationsrente]])^-Tidstabel[[#This Row],[År]])*((1+PrisudviklingGenerelt)^Tidstabel[[#This Row],[År]]))),BlankTegn)</f>
        <v>.</v>
      </c>
      <c r="CI66" s="262" t="str">
        <f>IFERROR(IF(Tidstabel[[#This Row],[År]]&gt;Input_Tidshorisont,BlankTegn,
IF(Tidstabel[[#This Row],[År]]=0,0,Tidstabel[[#This Row],[SK_Uds?]]*-SK_Enhedspris*SK_Genoprettelse*((1+Tidstabel[[#This Row],[Kalkulationsrente]])^-Tidstabel[[#This Row],[År]])*((1+PrisudviklingGenerelt)^Tidstabel[[#This Row],[År]]))),BlankTegn)</f>
        <v>.</v>
      </c>
      <c r="CJ66" s="19"/>
    </row>
    <row r="67" spans="1:88">
      <c r="A67" s="250">
        <v>60</v>
      </c>
      <c r="B67" s="250">
        <f>Input_Etableringsår+Tidstabel[[#This Row],[År]]</f>
        <v>2084</v>
      </c>
      <c r="C67" s="274" cm="1">
        <f t="array" ref="C67">_xlfn.IFS(Tidstabel[[#This Row],[År]]&gt;KR_Trin3_Tærskel,KR_Trin3_Rente,Tidstabel[[#This Row],[År]]&gt;KR_Trin2_Tærskel,KR_Trin2_Rente,Tidstabel[[#This Row],[År]]&gt;KR_Trin1_Tærskel,KR_Trin1_Rente,Tidstabel[[#This Row],[År]]&gt;KR_Trin0_Tærskel,KR_Trin0_Rente)</f>
        <v>2.5000000000000001E-2</v>
      </c>
      <c r="D67" s="142" t="str" cm="1">
        <f t="array" ref="D67">IFERROR(
INDEX(Range_Materiale_ÅrligeEmissioner,MATCH(1,(Materialedata[Komponent]=FB_Titel)*(Materialedata[Materiale]=FB_Materiale),0),MATCH(Tidstabel[[#This Row],[År]],Range_Materiale_År,0)),BlankTegn)</f>
        <v>.</v>
      </c>
      <c r="E67" s="142" t="str" cm="1">
        <f t="array" ref="E67">IFERROR(
INDEX(Range_Materiale_ÅrligeEmissioner,MATCH(1,(Materialedata[Komponent]=SK_Titel)*(Materialedata[Materiale]=SK_Materiale),0),MATCH(Tidstabel[[#This Row],[År]],Range_Materiale_År,0)),BlankTegn)</f>
        <v>.</v>
      </c>
      <c r="F67" s="142" t="str" cm="1">
        <f t="array" ref="F67">IFERROR(
INDEX(Range_Materiale_ÅrligeEmissioner,MATCH(1,(Materialedata[Komponent]=EI_Titel)*(Materialedata[Materiale]=EI_Materiale),0),MATCH(Tidstabel[[#This Row],[År]],Range_Materiale_År,0)),BlankTegn)</f>
        <v>.</v>
      </c>
      <c r="G67" s="142" t="str" cm="1">
        <f t="array" ref="G67">IFERROR(
INDEX(Range_Materiale_ÅrligeEmissioner,MATCH(1,(Materialedata[Komponent]=AP_Titel)*(Materialedata[Materiale]=AP_Materiale),0),MATCH(Tidstabel[[#This Row],[År]],Range_Materiale_År,0)),BlankTegn)</f>
        <v>.</v>
      </c>
      <c r="H67" s="142" t="str" cm="1">
        <f t="array" ref="H67">IFERROR(
INDEX(Range_Materiale_ÅrligeEmissioner,MATCH(1,(Materialedata[Komponent]=VS_Titel)*(Materialedata[Materiale]=VS_Materiale),0),MATCH(Tidstabel[[#This Row],[År]],Range_Materiale_År,0)),BlankTegn)</f>
        <v>.</v>
      </c>
      <c r="I67" s="142" t="str">
        <f>IFERROR(
IF(SUM(Tidstabel[[#This Row],[Facadebeklædning]:[Vindspærre]])=0,BlankTegn,
SUM(Tidstabel[[#This Row],[Facadebeklædning]:[Vindspærre]])),BlankTegn)</f>
        <v>.</v>
      </c>
      <c r="J67" s="139" t="str">
        <f>IF(Tidstabel[[#This Row],[År]]&gt;Input_Tidshorisont,BlankTegn,
A5_ElVarmeBrændstofByggeplads)</f>
        <v>.</v>
      </c>
      <c r="K67" s="142" t="str">
        <f>IFERROR(IF(Tidstabel[[#This Row],[År]]&gt;Input_Tidshorisont,BlankTegn,
-1*INDEX(Range_Energi_ÅrligBesparelse,MATCH(Input_EksisterendeFacade,Energiberegning[Ydervæg],0),MATCH(Tidstabel[[#This Row],[Årstal]],Range_Energi_Årstal,0))),BlankTegn)</f>
        <v>.</v>
      </c>
      <c r="L67" s="142" t="str">
        <f>IF(Tidstabel[[#This Row],[År]]&gt;Input_Tidshorisont,BlankTegn,
(Tidstabel[[#This Row],[År]]+1)*(SUM(Vedligeholdelsesmaterialer[Facadefarve],Vedligeholdelsesmaterialer[Grunder og mellemmaling])/12+SUM(Vedligeholdelsesmaterialer[Puds])/30))</f>
        <v>.</v>
      </c>
      <c r="M67" s="142" t="str">
        <f>IFERROR(IF(Tidstabel[[#This Row],[År]]&gt;Input_Tidshorisont,BlankTegn,
Tidstabel[[#This Row],[Materialer_Total]]+Tidstabel[[#This Row],[Byggeprocess]]),BlankTegn)</f>
        <v>.</v>
      </c>
      <c r="N67" s="142" t="str">
        <f>IFERROR(IF(Tidstabel[[#This Row],[År]]&gt;Input_Tidshorisont,BlankTegn,
Tidstabel[[#This Row],[Energibesparelse]]+Tidstabel[[#This Row],[Emission_Brutto]]),BlankTegn)</f>
        <v>.</v>
      </c>
      <c r="O67" s="142" t="str">
        <f>IFERROR(IF(Tidstabel[[#This Row],[År]]&gt;Input_Tidshorisont,BlankTegn,
Tidstabel[[#This Row],[Emission_Netto]]-Tidstabel[[#This Row],[Vedligehold_EksisterendeFacade]]),BlankTegn)</f>
        <v>.</v>
      </c>
      <c r="P67" s="271" t="str">
        <f>IFERROR(IF(Tidstabel[[#This Row],[År]]&gt;Input_Tidshorisont,BlankTegn,
IF(AND(Tidstabel[[#This Row],[Emission_Netto]]-Tidstabel[[#This Row],[Vedligehold_EksisterendeFacade]]&gt;0,N68-L68&lt;0),-1,IF(AND(Tidstabel[[#This Row],[Emission_Netto]]-Tidstabel[[#This Row],[Vedligehold_EksisterendeFacade]]&lt;0,N68-L68&gt;0),1,0))),BlankTegn)</f>
        <v>.</v>
      </c>
      <c r="Q67" s="174" t="str">
        <f>IF(Tidstabel[[#This Row],[År]]&gt;Input_Tidshorisont,BlankTegn,
IF(Tidstabel[[#This Row],[LCA-Skæring]]=-1,SUM(Tidstabel[[#This Row],[År]]*(1-ABS(Tidstabel[[#This Row],[LCA-Difference]])/(ABS(Tidstabel[[#This Row],[LCA-Difference]])+ABS(O68))),A68*(1-ABS(O68)/(ABS(Tidstabel[[#This Row],[LCA-Difference]])+ABS(O68)))),"-"))</f>
        <v>.</v>
      </c>
      <c r="R67" s="174" t="str">
        <f>IF(Tidstabel[[#This Row],[År]]&gt;Input_Tidshorisont,BlankTegn,
IF(Tidstabel[[#This Row],[LCA-Skæring]]=-1,SUM(Tidstabel[[#This Row],[Emission_Netto]]*(1-ABS(Tidstabel[[#This Row],[LCA-Difference]])/(ABS(Tidstabel[[#This Row],[LCA-Difference]])+ABS(O68))),N68*(1-ABS(O68)/(ABS(Tidstabel[[#This Row],[LCA-Difference]])+ABS(O68)))),"-"))</f>
        <v>.</v>
      </c>
      <c r="S67" s="174" t="str">
        <f>IF(Tidstabel[[#This Row],[År]]&gt;Input_Tidshorisont,BlankTegn,
IF(Tidstabel[[#This Row],[LCA-Skæring]]=1,SUM(Tidstabel[[#This Row],[År]]*(1-ABS(Tidstabel[[#This Row],[LCA-Difference]])/(ABS(Tidstabel[[#This Row],[LCA-Difference]])+ABS(O68))),A68*(1-ABS(O68)/(ABS(Tidstabel[[#This Row],[LCA-Difference]])+ABS(O68)))),"-"))</f>
        <v>.</v>
      </c>
      <c r="T67" s="264" t="str">
        <f>IF(Tidstabel[[#This Row],[År]]&gt;Input_Tidshorisont,BlankTegn,
IF(Tidstabel[[#This Row],[LCA-Skæring]]=1,SUM(Tidstabel[[#This Row],[Emission_Netto]]*(1-ABS(Tidstabel[[#This Row],[LCA-Difference]])/(ABS(Tidstabel[[#This Row],[LCA-Difference]])+ABS(O68))),N68*(1-ABS(O68)/(ABS(Tidstabel[[#This Row],[LCA-Difference]])+ABS(O68)))),"-"))</f>
        <v>.</v>
      </c>
      <c r="U67" s="142" t="str">
        <f>IFERROR(IF(Tidstabel[[#This Row],[År]]&gt;Input_Tidshorisont,BlankTegn,
Tidstabel[[#This Row],[NPV_Klimafacade]]-Tidstabel[[#This Row],[NPV_Eksisterende]]),BlankTegn)</f>
        <v>.</v>
      </c>
      <c r="V67" s="271" t="str">
        <f>IFERROR(IF(Tidstabel[[#This Row],[År]]&gt;Input_Tidshorisont,BlankTegn,
IF(AND(Tidstabel[[#This Row],[NPV_Klimafacade]]-Tidstabel[[#This Row],[NPV_Eksisterende]]&gt;0,AB68-AA68&lt;0),1,IF(AND(Tidstabel[[#This Row],[NPV_Klimafacade]]-Tidstabel[[#This Row],[NPV_Eksisterende]]&lt;0,AB68-AA68&gt;0),-1,0))),BlankTegn)</f>
        <v>.</v>
      </c>
      <c r="W67" s="174" t="str">
        <f>IF(Tidstabel[[#This Row],[År]]&gt;Input_Tidshorisont,BlankTegn,
IF(Tidstabel[[#This Row],[LCC-Skæring]]=-1,SUM(Tidstabel[[#This Row],[År]]*(1-ABS(Tidstabel[[#This Row],[LCC-Difference]])/(ABS(Tidstabel[[#This Row],[LCC-Difference]])+ABS(U68))),A68*(1-ABS(U68)/(ABS(Tidstabel[[#This Row],[LCC-Difference]])+ABS(U68)))),"-"))</f>
        <v>.</v>
      </c>
      <c r="X67" s="174" t="str">
        <f>IF(Tidstabel[[#This Row],[År]]&gt;Input_Tidshorisont,BlankTegn,
IF(Tidstabel[[#This Row],[LCC-Skæring]]=-1,SUM(Tidstabel[[#This Row],[NPV_Klimafacade]]*(1-ABS(Tidstabel[[#This Row],[LCC-Difference]])/(ABS(Tidstabel[[#This Row],[LCC-Difference]])+ABS(U68))),AB68*(1-ABS(U68)/(ABS(Tidstabel[[#This Row],[LCC-Difference]])+ABS(U68)))),"-"))</f>
        <v>.</v>
      </c>
      <c r="Y67" s="174" t="str">
        <f>IF(Tidstabel[[#This Row],[År]]&gt;Input_Tidshorisont,BlankTegn,
IF(Tidstabel[[#This Row],[LCC-Skæring]]=1,SUM(Tidstabel[[#This Row],[År]]*(1-ABS(Tidstabel[[#This Row],[LCC-Difference]])/(ABS(Tidstabel[[#This Row],[LCC-Difference]])+ABS(U68))),A68*(1-ABS(U68)/(ABS(Tidstabel[[#This Row],[LCC-Difference]])+ABS(U68)))),"-"))</f>
        <v>.</v>
      </c>
      <c r="Z67" s="264" t="str">
        <f>IF(Tidstabel[[#This Row],[År]]&gt;Input_Tidshorisont,BlankTegn,
IF(Tidstabel[[#This Row],[LCC-Skæring]]=1,SUM(Tidstabel[[#This Row],[NPV_Klimafacade]]*(1-ABS(Tidstabel[[#This Row],[LCC-Difference]])/(ABS(Tidstabel[[#This Row],[LCC-Difference]])+ABS(U68))),AB68*(1-ABS(U68)/(ABS(Tidstabel[[#This Row],[LCC-Difference]])+ABS(U68)))),"-"))</f>
        <v>.</v>
      </c>
      <c r="AA67" s="142" t="str">
        <f>IF(Tidstabel[[#This Row],[År]]&gt;Input_Tidshorisont,BlankTegn,
Tidstabel[[#This Row],[EF_Vedligehold_Aggregeret]])</f>
        <v>.</v>
      </c>
      <c r="AB67"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67" s="142" t="str">
        <f>IFERROR(IF(Tidstabel[[#This Row],[År]]&gt;Input_Tidshorisont,BlankTegn,
Tidstabel[[#This Row],[KF_Anskaffelse_Aggregeret]]+Tidstabel[[#This Row],[KF_Engangsudgifter_Aggregeret]]),BlankTegn)</f>
        <v>.</v>
      </c>
      <c r="AD67" s="174" t="str">
        <f>IFERROR(IF(Tidstabel[[#This Row],[År]]&gt;Input_Tidshorisont,BlankTegn,
IF(Tidstabel[[#This Row],[År]]=0,0,Tidstabel[[#This Row],[NPV_Eksisterende]]*(Tidstabel[[#This Row],[Kalkulationsrente]]/(1-(1+Tidstabel[[#This Row],[Kalkulationsrente]])^-Tidstabel[[#This Row],[År]])))),BlankTegn)</f>
        <v>.</v>
      </c>
      <c r="AE67" s="264" t="str">
        <f>IFERROR(IF(Tidstabel[[#This Row],[År]]&gt;Input_Tidshorisont,BlankTegn,
IF(Tidstabel[[#This Row],[År]]=0,0,Tidstabel[[#This Row],[NPV_Klimafacade]]*(Tidstabel[[#This Row],[Kalkulationsrente]]/(1-(1+Tidstabel[[#This Row],[Kalkulationsrente]])^-Tidstabel[[#This Row],[År]])))),BlankTegn)</f>
        <v>.</v>
      </c>
      <c r="AF67" s="270" t="str">
        <f ca="1">IF(Tidstabel[[#This Row],[År]]&gt;Input_Tidshorisont,BlankTegn,
IF(EF_Vedligehold_i=1,IF(Tidstabel[[#This Row],[EF_Uds?]]=0,1,0),IF(MAX(AF66:OFFSET(AG66,2-EF_Vedligehold_i,0),Tidstabel[[#This Row],[EF_Uds?]])=0,1,0)))</f>
        <v>.</v>
      </c>
      <c r="AG67" s="181" t="str">
        <f>IF(Tidstabel[[#This Row],[År]]&gt;Input_Tidshorisont,BlankTegn,0)</f>
        <v>.</v>
      </c>
      <c r="AH67" s="263" t="str">
        <f>IF(Tidstabel[[#This Row],[År]]&gt;Input_Tidshorisont,BlankTegn,
Tidstabel[[#This Row],[EF_Ved?]]*EF_Vedligehold_p*-EF_Enhedspris*((1+Tidstabel[[#This Row],[Kalkulationsrente]])^-Tidstabel[[#This Row],[År]])*((1+PrisudviklingGenerelt)^Tidstabel[[#This Row],[År]]))</f>
        <v>.</v>
      </c>
      <c r="AI67" s="262" t="str">
        <f>IF(Tidstabel[[#This Row],[År]]&gt;Input_Tidshorisont,BlankTegn,
IF(Tidstabel[[#This Row],[År]]=0,Tidstabel[[#This Row],[EF_Vedligehold]],AI66+Tidstabel[[#This Row],[EF_Vedligehold]]))</f>
        <v>.</v>
      </c>
      <c r="AJ67" s="245" t="str">
        <f>IFERROR(IF(Tidstabel[[#This Row],[År]]&gt;Input_Tidshorisont,BlankTegn,
Tidstabel[[#This Row],[FB_Anskaffelse]]+Tidstabel[[#This Row],[VS_Anskaffelse]]+Tidstabel[[#This Row],[EI_Anskaffelse]]+Tidstabel[[#This Row],[AP_Anskaffelse]]+Tidstabel[[#This Row],[SK_Anskaffelse]]),BlankTegn)</f>
        <v>.</v>
      </c>
      <c r="AK67" s="245" t="str">
        <f>IFERROR(IF(Tidstabel[[#This Row],[År]]&gt;Input_Tidshorisont,BlankTegn,
IF(Tidstabel[[#This Row],[År]]=0,Tidstabel[[#This Row],[KF_Anskaffelse]],AK66+Tidstabel[[#This Row],[KF_Anskaffelse]])),BlankTegn)</f>
        <v>.</v>
      </c>
      <c r="AL67" s="246" t="str">
        <f>IFERROR(IF(Tidstabel[[#This Row],[År]]&gt;Input_Tidshorisont,BlankTegn,
Tidstabel[[#This Row],[FB_Vedligehold]]+Tidstabel[[#This Row],[VS_Vedligehold]]+Tidstabel[[#This Row],[EI_Vedligehold]]+Tidstabel[[#This Row],[AP_Vedligehold]]+Tidstabel[[#This Row],[SK_Vedligehold]]),BlankTegn)</f>
        <v>.</v>
      </c>
      <c r="AM67" s="245" t="str">
        <f>IFERROR(IF(Tidstabel[[#This Row],[År]]&gt;Input_Tidshorisont,BlankTegn,
IF(Tidstabel[[#This Row],[År]]=0,Tidstabel[[#This Row],[KF_Vedligehold]],AM66+Tidstabel[[#This Row],[KF_Vedligehold]])),BlankTegn)</f>
        <v>.</v>
      </c>
      <c r="AN67"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67"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67" s="245" t="str">
        <f>IFERROR(IF(Tidstabel[[#This Row],[År]]&gt;Input_Tidshorisont,BlankTegn,
IF(Tidstabel[[#This Row],[År]]=0,Tidstabel[[#This Row],[KF_Udskiftning_Komponent]],AP66+Tidstabel[[#This Row],[KF_Udskiftning_Komponent]])),BlankTegn)</f>
        <v>.</v>
      </c>
      <c r="AQ67" s="245" t="str">
        <f>IF(Tidstabel[[#This Row],[År]]&gt;Input_Tidshorisont,BlankTegn,
IF(Tidstabel[[#This Row],[År]]=0,-SUM(Engangsudgifter[Udgift]),0))</f>
        <v>.</v>
      </c>
      <c r="AR67" s="245" t="str">
        <f>IFERROR(IF(Tidstabel[[#This Row],[År]]&gt;Input_Tidshorisont,BlankTegn,
IF(Tidstabel[[#This Row],[År]]=0,Tidstabel[[#This Row],[KF_Engangsudgifter]],AR66+Tidstabel[[#This Row],[KF_Engangsudgifter]])),BlankTegn)</f>
        <v>.</v>
      </c>
      <c r="AS67" s="315" t="str">
        <f>IFERROR(IF(Tidstabel[[#This Row],[År]]&gt;Input_Tidshorisont,BlankTegn,
-Energibesparelse_Årlig),BlankTegn)</f>
        <v>.</v>
      </c>
      <c r="AT67" s="245" t="str">
        <f>IFERROR(IF(Tidstabel[[#This Row],[År]]&gt;Input_Tidshorisont,BlankTegn,
IF(Tidstabel[[#This Row],[År]]=0,0,-Tidstabel[[#This Row],[KF_Energiforbrug]]*Input_Fjernvarmepris*((1+Tidstabel[[#This Row],[Kalkulationsrente]])^-Tidstabel[[#This Row],[År]])*((1+PrisudviklingFjernvarme)^Tidstabel[[#This Row],[År]]))),BlankTegn)</f>
        <v>.</v>
      </c>
      <c r="AU67" s="262" t="str">
        <f>IFERROR(IF(Tidstabel[[#This Row],[År]]&gt;Input_Tidshorisont,BlankTegn,
IF(Tidstabel[[#This Row],[År]]=0,Tidstabel[[#This Row],[KF_Forsyning]],AU66+Tidstabel[[#This Row],[KF_Forsyning]])),BlankTegn)</f>
        <v>.</v>
      </c>
      <c r="AV67" s="245" t="str">
        <f>IFERROR(IF(Tidstabel[[#This Row],[År]]&gt;Input_Tidshorisont,BlankTegn,
IF(Tidstabel[[#This Row],[År]]=0,-FB_Enhedspris,0)),BlankTegn)</f>
        <v>.</v>
      </c>
      <c r="AW67" s="245" t="str">
        <f>IFERROR(IF(Tidstabel[[#This Row],[År]]&gt;Input_Tidshorisont,BlankTegn,
IF(Tidstabel[[#This Row],[År]]=0,FB_Enhedspris/FB_Levetid,AW66*((1+Tidstabel[[#This Row],[Kalkulationsrente]])^-1)*((1+PrisudviklingGenerelt)^1))),BlankTegn)</f>
        <v>.</v>
      </c>
      <c r="AX67" s="178" t="str">
        <f ca="1">IFERROR(IF(Tidstabel[[#This Row],[År]]&gt;Input_Tidshorisont,BlankTegn,
IF(FB_Vedligehold_i=1,IF(Tidstabel[[#This Row],[FB_Uds?]]=0,1,0),IF(MAX(AX66:OFFSET(AY66,2-FB_Vedligehold_i,0),Tidstabel[[#This Row],[FB_Uds?]])=0,1,0))),BlankTegn)</f>
        <v>.</v>
      </c>
      <c r="AY67" s="178" t="str">
        <f>IFERROR(IF(Tidstabel[[#This Row],[År]]&gt;Input_Tidshorisont,BlankTegn,
IF(Tidstabel[[#This Row],[År]]=0,1,IF(MOD(Tidstabel[[#This Row],[År]],FB_Levetid)=0,1,IF(Tidstabel[[#This Row],[År]]=Input_Tidshorisont,0,0)))),BlankTegn)</f>
        <v>.</v>
      </c>
      <c r="AZ67" s="245" t="str">
        <f>IFERROR(IF(Tidstabel[[#This Row],[År]]&gt;Input_Tidshorisont,BlankTegn,
FB_Vedligehold_p*-FB_Enhedspris*Tidstabel[[#This Row],[FB_Ved?]]*((1+Tidstabel[[#This Row],[Kalkulationsrente]])^-Tidstabel[[#This Row],[År]])*((1+PrisudviklingGenerelt)^Tidstabel[[#This Row],[År]])),BlankTegn)</f>
        <v>.</v>
      </c>
      <c r="BA67" s="245" t="str">
        <f>IFERROR(IF(Tidstabel[[#This Row],[År]]&gt;Input_Tidshorisont,BlankTegn,
IF(Tidstabel[[#This Row],[År]]=0,FB_Enhedspris,SUM(BA66:BB66)*((1+Tidstabel[[#This Row],[Kalkulationsrente]])^-1)*((1+PrisudviklingGenerelt)^1)-Tidstabel[[#This Row],[FB_Afskrivning]])),BlankTegn)</f>
        <v>.</v>
      </c>
      <c r="BB67" s="245" t="str">
        <f>IFERROR(IF(Tidstabel[[#This Row],[År]]&gt;Input_Tidshorisont,BlankTegn,
IF(Tidstabel[[#This Row],[År]]=0,0,Tidstabel[[#This Row],[FB_Uds?]]*FB_Enhedspris*((1+Tidstabel[[#This Row],[Kalkulationsrente]])^-Tidstabel[[#This Row],[År]])*((1+PrisudviklingGenerelt)^Tidstabel[[#This Row],[År]]))),BlankTegn)</f>
        <v>.</v>
      </c>
      <c r="BC67" s="262" t="str">
        <f>IFERROR(IF(Tidstabel[[#This Row],[År]]&gt;Input_Tidshorisont,BlankTegn,
IF(Tidstabel[[#This Row],[År]]=0,0,Tidstabel[[#This Row],[FB_Uds?]]*-FB_Enhedspris*FB_Genoprettelse*((1+Tidstabel[[#This Row],[Kalkulationsrente]])^-Tidstabel[[#This Row],[År]])*((1+PrisudviklingGenerelt)^Tidstabel[[#This Row],[År]]))),BlankTegn)</f>
        <v>.</v>
      </c>
      <c r="BD67" s="245" t="str">
        <f>IFERROR(IF(Tidstabel[[#This Row],[År]]&gt;Input_Tidshorisont,BlankTegn,
IF(Tidstabel[[#This Row],[År]]=0,-VS_Enhedspris,0)),BlankTegn)</f>
        <v>.</v>
      </c>
      <c r="BE67" s="245" t="str">
        <f>IFERROR(IF(Tidstabel[[#This Row],[År]]&gt;Input_Tidshorisont,BlankTegn,
IF(Tidstabel[[#This Row],[År]]=0,VS_Enhedspris/VS_Levetid,BE66*((1+Tidstabel[[#This Row],[Kalkulationsrente]])^-1)*((1+PrisudviklingGenerelt)^1))),BlankTegn)</f>
        <v>.</v>
      </c>
      <c r="BF67" s="178" t="str">
        <f ca="1">IFERROR(IF(Tidstabel[[#This Row],[År]]&gt;Input_Tidshorisont,BlankTegn,
IF(VS_Vedligehold_i=1,IF(Tidstabel[[#This Row],[VS_Uds?]]=0,1,0),IF(MAX(BF66:OFFSET(BG66,2-VS_Vedligehold_i,0),Tidstabel[[#This Row],[VS_Uds?]])=0,1,0))),BlankTegn)</f>
        <v>.</v>
      </c>
      <c r="BG67" s="178" t="str">
        <f>IFERROR(IF(Tidstabel[[#This Row],[År]]&gt;Input_Tidshorisont,BlankTegn,
IF(Tidstabel[[#This Row],[År]]=0,1,IF(MOD(Tidstabel[[#This Row],[År]],VS_Levetid)=0,1,IF(Tidstabel[[#This Row],[År]]=Input_Tidshorisont,0,0)))),BlankTegn)</f>
        <v>.</v>
      </c>
      <c r="BH67" s="245" t="str">
        <f>IFERROR(IF(Tidstabel[[#This Row],[År]]&gt;Input_Tidshorisont,BlankTegn,
VS_Vedligehold_p*-VS_Enhedspris*Tidstabel[[#This Row],[VS_Ved?]]*((1+Tidstabel[[#This Row],[Kalkulationsrente]])^-Tidstabel[[#This Row],[År]])*((1+PrisudviklingGenerelt)^Tidstabel[[#This Row],[År]])),BlankTegn)</f>
        <v>.</v>
      </c>
      <c r="BI67" s="245" t="str">
        <f>IFERROR(IF(Tidstabel[[#This Row],[År]]&gt;Input_Tidshorisont,BlankTegn,
IF(Tidstabel[[#This Row],[År]]=0,VS_Enhedspris,SUM(BI66:BJ66)*((1+Tidstabel[[#This Row],[Kalkulationsrente]])^-1)*((1+PrisudviklingGenerelt)^1)-Tidstabel[[#This Row],[VS_Afskrivning]])),BlankTegn)</f>
        <v>.</v>
      </c>
      <c r="BJ67" s="245" t="str">
        <f>IFERROR(IF(Tidstabel[[#This Row],[År]]&gt;Input_Tidshorisont,BlankTegn,
IF(Tidstabel[[#This Row],[År]]=0,0,Tidstabel[[#This Row],[VS_Uds?]]*VS_Enhedspris*((1+Tidstabel[[#This Row],[Kalkulationsrente]])^-Tidstabel[[#This Row],[År]])*((1+PrisudviklingGenerelt)^Tidstabel[[#This Row],[År]]))),BlankTegn)</f>
        <v>.</v>
      </c>
      <c r="BK67" s="262" t="str">
        <f>IFERROR(IF(Tidstabel[[#This Row],[År]]&gt;Input_Tidshorisont,BlankTegn,
IF(Tidstabel[[#This Row],[År]]=0,0,Tidstabel[[#This Row],[VS_Uds?]]*-VS_Enhedspris*VS_Genoprettelse*((1+Tidstabel[[#This Row],[Kalkulationsrente]])^-Tidstabel[[#This Row],[År]])*((1+PrisudviklingGenerelt)^Tidstabel[[#This Row],[År]]))),BlankTegn)</f>
        <v>.</v>
      </c>
      <c r="BL67" s="245" t="str">
        <f>IFERROR(IF(Tidstabel[[#This Row],[År]]&gt;Input_Tidshorisont,BlankTegn,
IF(Tidstabel[[#This Row],[År]]=0,-EI_Enhedspris,0)),BlankTegn)</f>
        <v>.</v>
      </c>
      <c r="BM67" s="245" t="str">
        <f>IFERROR(IF(Tidstabel[[#This Row],[År]]&gt;Input_Tidshorisont,BlankTegn,
IF(Tidstabel[[#This Row],[År]]=0,EI_Enhedspris/EI_Levetid,BM66*((1+Tidstabel[[#This Row],[Kalkulationsrente]])^-1)*((1+PrisudviklingGenerelt)^1))),BlankTegn)</f>
        <v>.</v>
      </c>
      <c r="BN67" s="178" t="str">
        <f ca="1">IFERROR(IF(Tidstabel[[#This Row],[År]]&gt;Input_Tidshorisont,BlankTegn,
IF(EI_Vedligehold_i=1,IF(Tidstabel[[#This Row],[EI_Uds?]]=0,1,0),IF(MAX(BN66:OFFSET(BO66,2-EI_Vedligehold_i,0),Tidstabel[[#This Row],[EI_Uds?]])=0,1,0))),BlankTegn)</f>
        <v>.</v>
      </c>
      <c r="BO67" s="178" t="str">
        <f>IFERROR(IF(Tidstabel[[#This Row],[År]]&gt;Input_Tidshorisont,BlankTegn,
IF(Tidstabel[[#This Row],[År]]=0,1,IF(MOD(Tidstabel[[#This Row],[År]],EI_Levetid)=0,1,IF(Tidstabel[[#This Row],[År]]=Input_Tidshorisont,0,0)))),BlankTegn)</f>
        <v>.</v>
      </c>
      <c r="BP67" s="245" t="str">
        <f>IFERROR(IF(Tidstabel[[#This Row],[År]]&gt;Input_Tidshorisont,BlankTegn,
EI_Vedligehold_p*-EI_Enhedspris*Tidstabel[[#This Row],[EI_Ved?]]*((1+Tidstabel[[#This Row],[Kalkulationsrente]])^-Tidstabel[[#This Row],[År]])*((1+PrisudviklingGenerelt)^Tidstabel[[#This Row],[År]])),BlankTegn)</f>
        <v>.</v>
      </c>
      <c r="BQ67" s="245" t="str">
        <f>IFERROR(IF(Tidstabel[[#This Row],[År]]&gt;Input_Tidshorisont,BlankTegn,
IF(Tidstabel[[#This Row],[År]]=0,EI_Enhedspris,SUM(BQ66:BR66)*((1+Tidstabel[[#This Row],[Kalkulationsrente]])^-1)*((1+PrisudviklingGenerelt)^1)-Tidstabel[[#This Row],[EI_Afskrivning]])),BlankTegn)</f>
        <v>.</v>
      </c>
      <c r="BR67" s="245" t="str">
        <f>IFERROR(IF(Tidstabel[[#This Row],[År]]&gt;Input_Tidshorisont,BlankTegn,
IF(Tidstabel[[#This Row],[År]]=0,0,Tidstabel[[#This Row],[EI_Uds?]]*EI_Enhedspris*((1+Tidstabel[[#This Row],[Kalkulationsrente]])^-Tidstabel[[#This Row],[År]])*((1+PrisudviklingGenerelt)^Tidstabel[[#This Row],[År]]))),BlankTegn)</f>
        <v>.</v>
      </c>
      <c r="BS67" s="262" t="str">
        <f>IFERROR(IF(Tidstabel[[#This Row],[År]]&gt;Input_Tidshorisont,BlankTegn,
IF(Tidstabel[[#This Row],[År]]=0,0,Tidstabel[[#This Row],[EI_Uds?]]*-EI_Enhedspris*EI_Genoprettelse*((1+Tidstabel[[#This Row],[Kalkulationsrente]])^-Tidstabel[[#This Row],[År]])*((1+PrisudviklingGenerelt)^Tidstabel[[#This Row],[År]]))),BlankTegn)</f>
        <v>.</v>
      </c>
      <c r="BT67" s="245" t="str">
        <f>IFERROR(IF(Tidstabel[[#This Row],[År]]&gt;Input_Tidshorisont,BlankTegn,
IF(Tidstabel[[#This Row],[År]]=0,-AP_Enhedspris,0)),BlankTegn)</f>
        <v>.</v>
      </c>
      <c r="BU67" s="245" t="str">
        <f>IFERROR(IF(Tidstabel[[#This Row],[År]]&gt;Input_Tidshorisont,BlankTegn,
IF(Tidstabel[[#This Row],[År]]=0,AP_Enhedspris/AP_Levetid,BU66*((1+Tidstabel[[#This Row],[Kalkulationsrente]])^-1)*((1+PrisudviklingGenerelt)^1))),BlankTegn)</f>
        <v>.</v>
      </c>
      <c r="BV67" s="178" t="str">
        <f ca="1">IFERROR(IF(Tidstabel[[#This Row],[År]]&gt;Input_Tidshorisont,BlankTegn,
IF(AP_Vedligehold_i=1,IF(Tidstabel[[#This Row],[AP_Uds?]]=0,1,0),IF(MAX(BV66:OFFSET(BW66,2-AP_Vedligehold_i,0),Tidstabel[[#This Row],[AP_Uds?]])=0,1,0))),BlankTegn)</f>
        <v>.</v>
      </c>
      <c r="BW67" s="178" t="str">
        <f>IFERROR(IF(Tidstabel[[#This Row],[År]]&gt;Input_Tidshorisont,BlankTegn,
IF(Tidstabel[[#This Row],[År]]=0,1,IF(MOD(Tidstabel[[#This Row],[År]],AP_Levetid)=0,1,IF(Tidstabel[[#This Row],[År]]=Input_Tidshorisont,0,0)))),BlankTegn)</f>
        <v>.</v>
      </c>
      <c r="BX67" s="245" t="str">
        <f>IFERROR(IF(Tidstabel[[#This Row],[År]]&gt;Input_Tidshorisont,BlankTegn,
AP_Vedligehold_p*-AP_Enhedspris*Tidstabel[[#This Row],[AP_Ved?]]*((1+Tidstabel[[#This Row],[Kalkulationsrente]])^-Tidstabel[[#This Row],[År]])*((1+PrisudviklingGenerelt)^Tidstabel[[#This Row],[År]])),BlankTegn)</f>
        <v>.</v>
      </c>
      <c r="BY67" s="245" t="str">
        <f>IFERROR(IF(Tidstabel[[#This Row],[År]]&gt;Input_Tidshorisont,BlankTegn,
IF(Tidstabel[[#This Row],[År]]=0,AP_Enhedspris,SUM(BY66:BZ66)*((1+Tidstabel[[#This Row],[Kalkulationsrente]])^-1)*((1+PrisudviklingGenerelt)^1)-Tidstabel[[#This Row],[AP_Afskrivning]])),BlankTegn)</f>
        <v>.</v>
      </c>
      <c r="BZ67" s="245" t="str">
        <f>IFERROR(IF(Tidstabel[[#This Row],[År]]&gt;Input_Tidshorisont,BlankTegn,
IF(Tidstabel[[#This Row],[År]]=0,0,Tidstabel[[#This Row],[AP_Uds?]]*AP_Enhedspris*((1+Tidstabel[[#This Row],[Kalkulationsrente]])^-Tidstabel[[#This Row],[År]])*((1+PrisudviklingGenerelt)^Tidstabel[[#This Row],[År]]))),BlankTegn)</f>
        <v>.</v>
      </c>
      <c r="CA67" s="262" t="str">
        <f>IFERROR(IF(Tidstabel[[#This Row],[År]]&gt;Input_Tidshorisont,BlankTegn,
IF(Tidstabel[[#This Row],[År]]=0,0,Tidstabel[[#This Row],[AP_Uds?]]*-AP_Enhedspris*AP_Genoprettelse*((1+Tidstabel[[#This Row],[Kalkulationsrente]])^-Tidstabel[[#This Row],[År]])*((1+PrisudviklingGenerelt)^Tidstabel[[#This Row],[År]]))),BlankTegn)</f>
        <v>.</v>
      </c>
      <c r="CB67" s="245" t="str">
        <f>IFERROR(IF(Tidstabel[[#This Row],[År]]&gt;Input_Tidshorisont,BlankTegn,
IF(Tidstabel[[#This Row],[År]]=0,-SK_Enhedspris,0)),BlankTegn)</f>
        <v>.</v>
      </c>
      <c r="CC67" s="245" t="str">
        <f>IFERROR(IF(Tidstabel[[#This Row],[År]]&gt;Input_Tidshorisont,BlankTegn,
IF(Tidstabel[[#This Row],[År]]=0,SK_Enhedspris/SK_Levetid,CC66*((1+Tidstabel[[#This Row],[Kalkulationsrente]])^-1)*((1+PrisudviklingGenerelt)^1))),BlankTegn)</f>
        <v>.</v>
      </c>
      <c r="CD67" s="178" t="str">
        <f ca="1">IFERROR(IF(Tidstabel[[#This Row],[År]]&gt;Input_Tidshorisont,BlankTegn,
IF(SK_Vedligehold_i=1,IF(Tidstabel[[#This Row],[SK_Uds?]]=0,1,0),IF(MAX(CD66:OFFSET(CE66,2-SK_Vedligehold_i,0),Tidstabel[[#This Row],[SK_Uds?]])=0,1,0))),BlankTegn)</f>
        <v>.</v>
      </c>
      <c r="CE67" s="178" t="str">
        <f>IFERROR(IF(Tidstabel[[#This Row],[År]]&gt;Input_Tidshorisont,BlankTegn,
IF(Tidstabel[[#This Row],[År]]=0,1,IF(MOD(Tidstabel[[#This Row],[År]],SK_Levetid)=0,1,IF(Tidstabel[[#This Row],[År]]=Input_Tidshorisont,0,0)))),BlankTegn)</f>
        <v>.</v>
      </c>
      <c r="CF67" s="245" t="str">
        <f>IFERROR(IF(Tidstabel[[#This Row],[År]]&gt;Input_Tidshorisont,BlankTegn,
SK_Vedligehold_p*-SK_Enhedspris*Tidstabel[[#This Row],[SK_Ved?]]*((1+Tidstabel[[#This Row],[Kalkulationsrente]])^-Tidstabel[[#This Row],[År]])*((1+PrisudviklingGenerelt)^Tidstabel[[#This Row],[År]])),BlankTegn)</f>
        <v>.</v>
      </c>
      <c r="CG67" s="245" t="str">
        <f>IFERROR(IF(Tidstabel[[#This Row],[År]]&gt;Input_Tidshorisont,BlankTegn,
IF(Tidstabel[[#This Row],[År]]=0,SK_Enhedspris,SUM(CG66:CH66)*((1+Tidstabel[[#This Row],[Kalkulationsrente]])^-1)*((1+PrisudviklingGenerelt)^1)-Tidstabel[[#This Row],[SK_Afskrivning]])),BlankTegn)</f>
        <v>.</v>
      </c>
      <c r="CH67" s="245" t="str">
        <f>IFERROR(IF(Tidstabel[[#This Row],[År]]&gt;Input_Tidshorisont,BlankTegn,
IF(Tidstabel[[#This Row],[År]]=0,0,Tidstabel[[#This Row],[SK_Uds?]]*SK_Enhedspris*((1+Tidstabel[[#This Row],[Kalkulationsrente]])^-Tidstabel[[#This Row],[År]])*((1+PrisudviklingGenerelt)^Tidstabel[[#This Row],[År]]))),BlankTegn)</f>
        <v>.</v>
      </c>
      <c r="CI67" s="262" t="str">
        <f>IFERROR(IF(Tidstabel[[#This Row],[År]]&gt;Input_Tidshorisont,BlankTegn,
IF(Tidstabel[[#This Row],[År]]=0,0,Tidstabel[[#This Row],[SK_Uds?]]*-SK_Enhedspris*SK_Genoprettelse*((1+Tidstabel[[#This Row],[Kalkulationsrente]])^-Tidstabel[[#This Row],[År]])*((1+PrisudviklingGenerelt)^Tidstabel[[#This Row],[År]]))),BlankTegn)</f>
        <v>.</v>
      </c>
      <c r="CJ67" s="19"/>
    </row>
    <row r="68" spans="1:88">
      <c r="A68" s="250">
        <v>61</v>
      </c>
      <c r="B68" s="250">
        <f>Input_Etableringsår+Tidstabel[[#This Row],[År]]</f>
        <v>2085</v>
      </c>
      <c r="C68" s="274" cm="1">
        <f t="array" ref="C68">_xlfn.IFS(Tidstabel[[#This Row],[År]]&gt;KR_Trin3_Tærskel,KR_Trin3_Rente,Tidstabel[[#This Row],[År]]&gt;KR_Trin2_Tærskel,KR_Trin2_Rente,Tidstabel[[#This Row],[År]]&gt;KR_Trin1_Tærskel,KR_Trin1_Rente,Tidstabel[[#This Row],[År]]&gt;KR_Trin0_Tærskel,KR_Trin0_Rente)</f>
        <v>2.5000000000000001E-2</v>
      </c>
      <c r="D68" s="142" t="str" cm="1">
        <f t="array" ref="D68">IFERROR(
INDEX(Range_Materiale_ÅrligeEmissioner,MATCH(1,(Materialedata[Komponent]=FB_Titel)*(Materialedata[Materiale]=FB_Materiale),0),MATCH(Tidstabel[[#This Row],[År]],Range_Materiale_År,0)),BlankTegn)</f>
        <v>.</v>
      </c>
      <c r="E68" s="142" t="str" cm="1">
        <f t="array" ref="E68">IFERROR(
INDEX(Range_Materiale_ÅrligeEmissioner,MATCH(1,(Materialedata[Komponent]=SK_Titel)*(Materialedata[Materiale]=SK_Materiale),0),MATCH(Tidstabel[[#This Row],[År]],Range_Materiale_År,0)),BlankTegn)</f>
        <v>.</v>
      </c>
      <c r="F68" s="142" t="str" cm="1">
        <f t="array" ref="F68">IFERROR(
INDEX(Range_Materiale_ÅrligeEmissioner,MATCH(1,(Materialedata[Komponent]=EI_Titel)*(Materialedata[Materiale]=EI_Materiale),0),MATCH(Tidstabel[[#This Row],[År]],Range_Materiale_År,0)),BlankTegn)</f>
        <v>.</v>
      </c>
      <c r="G68" s="142" t="str" cm="1">
        <f t="array" ref="G68">IFERROR(
INDEX(Range_Materiale_ÅrligeEmissioner,MATCH(1,(Materialedata[Komponent]=AP_Titel)*(Materialedata[Materiale]=AP_Materiale),0),MATCH(Tidstabel[[#This Row],[År]],Range_Materiale_År,0)),BlankTegn)</f>
        <v>.</v>
      </c>
      <c r="H68" s="142" t="str" cm="1">
        <f t="array" ref="H68">IFERROR(
INDEX(Range_Materiale_ÅrligeEmissioner,MATCH(1,(Materialedata[Komponent]=VS_Titel)*(Materialedata[Materiale]=VS_Materiale),0),MATCH(Tidstabel[[#This Row],[År]],Range_Materiale_År,0)),BlankTegn)</f>
        <v>.</v>
      </c>
      <c r="I68" s="142" t="str">
        <f>IFERROR(
IF(SUM(Tidstabel[[#This Row],[Facadebeklædning]:[Vindspærre]])=0,BlankTegn,
SUM(Tidstabel[[#This Row],[Facadebeklædning]:[Vindspærre]])),BlankTegn)</f>
        <v>.</v>
      </c>
      <c r="J68" s="139" t="str">
        <f>IF(Tidstabel[[#This Row],[År]]&gt;Input_Tidshorisont,BlankTegn,
A5_ElVarmeBrændstofByggeplads)</f>
        <v>.</v>
      </c>
      <c r="K68" s="142" t="str">
        <f>IFERROR(IF(Tidstabel[[#This Row],[År]]&gt;Input_Tidshorisont,BlankTegn,
-1*INDEX(Range_Energi_ÅrligBesparelse,MATCH(Input_EksisterendeFacade,Energiberegning[Ydervæg],0),MATCH(Tidstabel[[#This Row],[Årstal]],Range_Energi_Årstal,0))),BlankTegn)</f>
        <v>.</v>
      </c>
      <c r="L68" s="142" t="str">
        <f>IF(Tidstabel[[#This Row],[År]]&gt;Input_Tidshorisont,BlankTegn,
(Tidstabel[[#This Row],[År]]+1)*(SUM(Vedligeholdelsesmaterialer[Facadefarve],Vedligeholdelsesmaterialer[Grunder og mellemmaling])/12+SUM(Vedligeholdelsesmaterialer[Puds])/30))</f>
        <v>.</v>
      </c>
      <c r="M68" s="142" t="str">
        <f>IFERROR(IF(Tidstabel[[#This Row],[År]]&gt;Input_Tidshorisont,BlankTegn,
Tidstabel[[#This Row],[Materialer_Total]]+Tidstabel[[#This Row],[Byggeprocess]]),BlankTegn)</f>
        <v>.</v>
      </c>
      <c r="N68" s="142" t="str">
        <f>IFERROR(IF(Tidstabel[[#This Row],[År]]&gt;Input_Tidshorisont,BlankTegn,
Tidstabel[[#This Row],[Energibesparelse]]+Tidstabel[[#This Row],[Emission_Brutto]]),BlankTegn)</f>
        <v>.</v>
      </c>
      <c r="O68" s="142" t="str">
        <f>IFERROR(IF(Tidstabel[[#This Row],[År]]&gt;Input_Tidshorisont,BlankTegn,
Tidstabel[[#This Row],[Emission_Netto]]-Tidstabel[[#This Row],[Vedligehold_EksisterendeFacade]]),BlankTegn)</f>
        <v>.</v>
      </c>
      <c r="P68" s="271" t="str">
        <f>IFERROR(IF(Tidstabel[[#This Row],[År]]&gt;Input_Tidshorisont,BlankTegn,
IF(AND(Tidstabel[[#This Row],[Emission_Netto]]-Tidstabel[[#This Row],[Vedligehold_EksisterendeFacade]]&gt;0,N69-L69&lt;0),-1,IF(AND(Tidstabel[[#This Row],[Emission_Netto]]-Tidstabel[[#This Row],[Vedligehold_EksisterendeFacade]]&lt;0,N69-L69&gt;0),1,0))),BlankTegn)</f>
        <v>.</v>
      </c>
      <c r="Q68" s="174" t="str">
        <f>IF(Tidstabel[[#This Row],[År]]&gt;Input_Tidshorisont,BlankTegn,
IF(Tidstabel[[#This Row],[LCA-Skæring]]=-1,SUM(Tidstabel[[#This Row],[År]]*(1-ABS(Tidstabel[[#This Row],[LCA-Difference]])/(ABS(Tidstabel[[#This Row],[LCA-Difference]])+ABS(O69))),A69*(1-ABS(O69)/(ABS(Tidstabel[[#This Row],[LCA-Difference]])+ABS(O69)))),"-"))</f>
        <v>.</v>
      </c>
      <c r="R68" s="174" t="str">
        <f>IF(Tidstabel[[#This Row],[År]]&gt;Input_Tidshorisont,BlankTegn,
IF(Tidstabel[[#This Row],[LCA-Skæring]]=-1,SUM(Tidstabel[[#This Row],[Emission_Netto]]*(1-ABS(Tidstabel[[#This Row],[LCA-Difference]])/(ABS(Tidstabel[[#This Row],[LCA-Difference]])+ABS(O69))),N69*(1-ABS(O69)/(ABS(Tidstabel[[#This Row],[LCA-Difference]])+ABS(O69)))),"-"))</f>
        <v>.</v>
      </c>
      <c r="S68" s="174" t="str">
        <f>IF(Tidstabel[[#This Row],[År]]&gt;Input_Tidshorisont,BlankTegn,
IF(Tidstabel[[#This Row],[LCA-Skæring]]=1,SUM(Tidstabel[[#This Row],[År]]*(1-ABS(Tidstabel[[#This Row],[LCA-Difference]])/(ABS(Tidstabel[[#This Row],[LCA-Difference]])+ABS(O69))),A69*(1-ABS(O69)/(ABS(Tidstabel[[#This Row],[LCA-Difference]])+ABS(O69)))),"-"))</f>
        <v>.</v>
      </c>
      <c r="T68" s="264" t="str">
        <f>IF(Tidstabel[[#This Row],[År]]&gt;Input_Tidshorisont,BlankTegn,
IF(Tidstabel[[#This Row],[LCA-Skæring]]=1,SUM(Tidstabel[[#This Row],[Emission_Netto]]*(1-ABS(Tidstabel[[#This Row],[LCA-Difference]])/(ABS(Tidstabel[[#This Row],[LCA-Difference]])+ABS(O69))),N69*(1-ABS(O69)/(ABS(Tidstabel[[#This Row],[LCA-Difference]])+ABS(O69)))),"-"))</f>
        <v>.</v>
      </c>
      <c r="U68" s="142" t="str">
        <f>IFERROR(IF(Tidstabel[[#This Row],[År]]&gt;Input_Tidshorisont,BlankTegn,
Tidstabel[[#This Row],[NPV_Klimafacade]]-Tidstabel[[#This Row],[NPV_Eksisterende]]),BlankTegn)</f>
        <v>.</v>
      </c>
      <c r="V68" s="271" t="str">
        <f>IFERROR(IF(Tidstabel[[#This Row],[År]]&gt;Input_Tidshorisont,BlankTegn,
IF(AND(Tidstabel[[#This Row],[NPV_Klimafacade]]-Tidstabel[[#This Row],[NPV_Eksisterende]]&gt;0,AB69-AA69&lt;0),1,IF(AND(Tidstabel[[#This Row],[NPV_Klimafacade]]-Tidstabel[[#This Row],[NPV_Eksisterende]]&lt;0,AB69-AA69&gt;0),-1,0))),BlankTegn)</f>
        <v>.</v>
      </c>
      <c r="W68" s="174" t="str">
        <f>IF(Tidstabel[[#This Row],[År]]&gt;Input_Tidshorisont,BlankTegn,
IF(Tidstabel[[#This Row],[LCC-Skæring]]=-1,SUM(Tidstabel[[#This Row],[År]]*(1-ABS(Tidstabel[[#This Row],[LCC-Difference]])/(ABS(Tidstabel[[#This Row],[LCC-Difference]])+ABS(U69))),A69*(1-ABS(U69)/(ABS(Tidstabel[[#This Row],[LCC-Difference]])+ABS(U69)))),"-"))</f>
        <v>.</v>
      </c>
      <c r="X68" s="174" t="str">
        <f>IF(Tidstabel[[#This Row],[År]]&gt;Input_Tidshorisont,BlankTegn,
IF(Tidstabel[[#This Row],[LCC-Skæring]]=-1,SUM(Tidstabel[[#This Row],[NPV_Klimafacade]]*(1-ABS(Tidstabel[[#This Row],[LCC-Difference]])/(ABS(Tidstabel[[#This Row],[LCC-Difference]])+ABS(U69))),AB69*(1-ABS(U69)/(ABS(Tidstabel[[#This Row],[LCC-Difference]])+ABS(U69)))),"-"))</f>
        <v>.</v>
      </c>
      <c r="Y68" s="174" t="str">
        <f>IF(Tidstabel[[#This Row],[År]]&gt;Input_Tidshorisont,BlankTegn,
IF(Tidstabel[[#This Row],[LCC-Skæring]]=1,SUM(Tidstabel[[#This Row],[År]]*(1-ABS(Tidstabel[[#This Row],[LCC-Difference]])/(ABS(Tidstabel[[#This Row],[LCC-Difference]])+ABS(U69))),A69*(1-ABS(U69)/(ABS(Tidstabel[[#This Row],[LCC-Difference]])+ABS(U69)))),"-"))</f>
        <v>.</v>
      </c>
      <c r="Z68" s="264" t="str">
        <f>IF(Tidstabel[[#This Row],[År]]&gt;Input_Tidshorisont,BlankTegn,
IF(Tidstabel[[#This Row],[LCC-Skæring]]=1,SUM(Tidstabel[[#This Row],[NPV_Klimafacade]]*(1-ABS(Tidstabel[[#This Row],[LCC-Difference]])/(ABS(Tidstabel[[#This Row],[LCC-Difference]])+ABS(U69))),AB69*(1-ABS(U69)/(ABS(Tidstabel[[#This Row],[LCC-Difference]])+ABS(U69)))),"-"))</f>
        <v>.</v>
      </c>
      <c r="AA68" s="142" t="str">
        <f>IF(Tidstabel[[#This Row],[År]]&gt;Input_Tidshorisont,BlankTegn,
Tidstabel[[#This Row],[EF_Vedligehold_Aggregeret]])</f>
        <v>.</v>
      </c>
      <c r="AB68"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68" s="142" t="str">
        <f>IFERROR(IF(Tidstabel[[#This Row],[År]]&gt;Input_Tidshorisont,BlankTegn,
Tidstabel[[#This Row],[KF_Anskaffelse_Aggregeret]]+Tidstabel[[#This Row],[KF_Engangsudgifter_Aggregeret]]),BlankTegn)</f>
        <v>.</v>
      </c>
      <c r="AD68" s="174" t="str">
        <f>IFERROR(IF(Tidstabel[[#This Row],[År]]&gt;Input_Tidshorisont,BlankTegn,
IF(Tidstabel[[#This Row],[År]]=0,0,Tidstabel[[#This Row],[NPV_Eksisterende]]*(Tidstabel[[#This Row],[Kalkulationsrente]]/(1-(1+Tidstabel[[#This Row],[Kalkulationsrente]])^-Tidstabel[[#This Row],[År]])))),BlankTegn)</f>
        <v>.</v>
      </c>
      <c r="AE68" s="264" t="str">
        <f>IFERROR(IF(Tidstabel[[#This Row],[År]]&gt;Input_Tidshorisont,BlankTegn,
IF(Tidstabel[[#This Row],[År]]=0,0,Tidstabel[[#This Row],[NPV_Klimafacade]]*(Tidstabel[[#This Row],[Kalkulationsrente]]/(1-(1+Tidstabel[[#This Row],[Kalkulationsrente]])^-Tidstabel[[#This Row],[År]])))),BlankTegn)</f>
        <v>.</v>
      </c>
      <c r="AF68" s="270" t="str">
        <f ca="1">IF(Tidstabel[[#This Row],[År]]&gt;Input_Tidshorisont,BlankTegn,
IF(EF_Vedligehold_i=1,IF(Tidstabel[[#This Row],[EF_Uds?]]=0,1,0),IF(MAX(AF67:OFFSET(AG67,2-EF_Vedligehold_i,0),Tidstabel[[#This Row],[EF_Uds?]])=0,1,0)))</f>
        <v>.</v>
      </c>
      <c r="AG68" s="181" t="str">
        <f>IF(Tidstabel[[#This Row],[År]]&gt;Input_Tidshorisont,BlankTegn,0)</f>
        <v>.</v>
      </c>
      <c r="AH68" s="263" t="str">
        <f>IF(Tidstabel[[#This Row],[År]]&gt;Input_Tidshorisont,BlankTegn,
Tidstabel[[#This Row],[EF_Ved?]]*EF_Vedligehold_p*-EF_Enhedspris*((1+Tidstabel[[#This Row],[Kalkulationsrente]])^-Tidstabel[[#This Row],[År]])*((1+PrisudviklingGenerelt)^Tidstabel[[#This Row],[År]]))</f>
        <v>.</v>
      </c>
      <c r="AI68" s="262" t="str">
        <f>IF(Tidstabel[[#This Row],[År]]&gt;Input_Tidshorisont,BlankTegn,
IF(Tidstabel[[#This Row],[År]]=0,Tidstabel[[#This Row],[EF_Vedligehold]],AI67+Tidstabel[[#This Row],[EF_Vedligehold]]))</f>
        <v>.</v>
      </c>
      <c r="AJ68" s="245" t="str">
        <f>IFERROR(IF(Tidstabel[[#This Row],[År]]&gt;Input_Tidshorisont,BlankTegn,
Tidstabel[[#This Row],[FB_Anskaffelse]]+Tidstabel[[#This Row],[VS_Anskaffelse]]+Tidstabel[[#This Row],[EI_Anskaffelse]]+Tidstabel[[#This Row],[AP_Anskaffelse]]+Tidstabel[[#This Row],[SK_Anskaffelse]]),BlankTegn)</f>
        <v>.</v>
      </c>
      <c r="AK68" s="245" t="str">
        <f>IFERROR(IF(Tidstabel[[#This Row],[År]]&gt;Input_Tidshorisont,BlankTegn,
IF(Tidstabel[[#This Row],[År]]=0,Tidstabel[[#This Row],[KF_Anskaffelse]],AK67+Tidstabel[[#This Row],[KF_Anskaffelse]])),BlankTegn)</f>
        <v>.</v>
      </c>
      <c r="AL68" s="246" t="str">
        <f>IFERROR(IF(Tidstabel[[#This Row],[År]]&gt;Input_Tidshorisont,BlankTegn,
Tidstabel[[#This Row],[FB_Vedligehold]]+Tidstabel[[#This Row],[VS_Vedligehold]]+Tidstabel[[#This Row],[EI_Vedligehold]]+Tidstabel[[#This Row],[AP_Vedligehold]]+Tidstabel[[#This Row],[SK_Vedligehold]]),BlankTegn)</f>
        <v>.</v>
      </c>
      <c r="AM68" s="245" t="str">
        <f>IFERROR(IF(Tidstabel[[#This Row],[År]]&gt;Input_Tidshorisont,BlankTegn,
IF(Tidstabel[[#This Row],[År]]=0,Tidstabel[[#This Row],[KF_Vedligehold]],AM67+Tidstabel[[#This Row],[KF_Vedligehold]])),BlankTegn)</f>
        <v>.</v>
      </c>
      <c r="AN68"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68"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68" s="245" t="str">
        <f>IFERROR(IF(Tidstabel[[#This Row],[År]]&gt;Input_Tidshorisont,BlankTegn,
IF(Tidstabel[[#This Row],[År]]=0,Tidstabel[[#This Row],[KF_Udskiftning_Komponent]],AP67+Tidstabel[[#This Row],[KF_Udskiftning_Komponent]])),BlankTegn)</f>
        <v>.</v>
      </c>
      <c r="AQ68" s="245" t="str">
        <f>IF(Tidstabel[[#This Row],[År]]&gt;Input_Tidshorisont,BlankTegn,
IF(Tidstabel[[#This Row],[År]]=0,-SUM(Engangsudgifter[Udgift]),0))</f>
        <v>.</v>
      </c>
      <c r="AR68" s="245" t="str">
        <f>IFERROR(IF(Tidstabel[[#This Row],[År]]&gt;Input_Tidshorisont,BlankTegn,
IF(Tidstabel[[#This Row],[År]]=0,Tidstabel[[#This Row],[KF_Engangsudgifter]],AR67+Tidstabel[[#This Row],[KF_Engangsudgifter]])),BlankTegn)</f>
        <v>.</v>
      </c>
      <c r="AS68" s="315" t="str">
        <f>IFERROR(IF(Tidstabel[[#This Row],[År]]&gt;Input_Tidshorisont,BlankTegn,
-Energibesparelse_Årlig),BlankTegn)</f>
        <v>.</v>
      </c>
      <c r="AT68" s="245" t="str">
        <f>IFERROR(IF(Tidstabel[[#This Row],[År]]&gt;Input_Tidshorisont,BlankTegn,
IF(Tidstabel[[#This Row],[År]]=0,0,-Tidstabel[[#This Row],[KF_Energiforbrug]]*Input_Fjernvarmepris*((1+Tidstabel[[#This Row],[Kalkulationsrente]])^-Tidstabel[[#This Row],[År]])*((1+PrisudviklingFjernvarme)^Tidstabel[[#This Row],[År]]))),BlankTegn)</f>
        <v>.</v>
      </c>
      <c r="AU68" s="262" t="str">
        <f>IFERROR(IF(Tidstabel[[#This Row],[År]]&gt;Input_Tidshorisont,BlankTegn,
IF(Tidstabel[[#This Row],[År]]=0,Tidstabel[[#This Row],[KF_Forsyning]],AU67+Tidstabel[[#This Row],[KF_Forsyning]])),BlankTegn)</f>
        <v>.</v>
      </c>
      <c r="AV68" s="245" t="str">
        <f>IFERROR(IF(Tidstabel[[#This Row],[År]]&gt;Input_Tidshorisont,BlankTegn,
IF(Tidstabel[[#This Row],[År]]=0,-FB_Enhedspris,0)),BlankTegn)</f>
        <v>.</v>
      </c>
      <c r="AW68" s="245" t="str">
        <f>IFERROR(IF(Tidstabel[[#This Row],[År]]&gt;Input_Tidshorisont,BlankTegn,
IF(Tidstabel[[#This Row],[År]]=0,FB_Enhedspris/FB_Levetid,AW67*((1+Tidstabel[[#This Row],[Kalkulationsrente]])^-1)*((1+PrisudviklingGenerelt)^1))),BlankTegn)</f>
        <v>.</v>
      </c>
      <c r="AX68" s="178" t="str">
        <f ca="1">IFERROR(IF(Tidstabel[[#This Row],[År]]&gt;Input_Tidshorisont,BlankTegn,
IF(FB_Vedligehold_i=1,IF(Tidstabel[[#This Row],[FB_Uds?]]=0,1,0),IF(MAX(AX67:OFFSET(AY67,2-FB_Vedligehold_i,0),Tidstabel[[#This Row],[FB_Uds?]])=0,1,0))),BlankTegn)</f>
        <v>.</v>
      </c>
      <c r="AY68" s="178" t="str">
        <f>IFERROR(IF(Tidstabel[[#This Row],[År]]&gt;Input_Tidshorisont,BlankTegn,
IF(Tidstabel[[#This Row],[År]]=0,1,IF(MOD(Tidstabel[[#This Row],[År]],FB_Levetid)=0,1,IF(Tidstabel[[#This Row],[År]]=Input_Tidshorisont,0,0)))),BlankTegn)</f>
        <v>.</v>
      </c>
      <c r="AZ68" s="245" t="str">
        <f>IFERROR(IF(Tidstabel[[#This Row],[År]]&gt;Input_Tidshorisont,BlankTegn,
FB_Vedligehold_p*-FB_Enhedspris*Tidstabel[[#This Row],[FB_Ved?]]*((1+Tidstabel[[#This Row],[Kalkulationsrente]])^-Tidstabel[[#This Row],[År]])*((1+PrisudviklingGenerelt)^Tidstabel[[#This Row],[År]])),BlankTegn)</f>
        <v>.</v>
      </c>
      <c r="BA68" s="245" t="str">
        <f>IFERROR(IF(Tidstabel[[#This Row],[År]]&gt;Input_Tidshorisont,BlankTegn,
IF(Tidstabel[[#This Row],[År]]=0,FB_Enhedspris,SUM(BA67:BB67)*((1+Tidstabel[[#This Row],[Kalkulationsrente]])^-1)*((1+PrisudviklingGenerelt)^1)-Tidstabel[[#This Row],[FB_Afskrivning]])),BlankTegn)</f>
        <v>.</v>
      </c>
      <c r="BB68" s="245" t="str">
        <f>IFERROR(IF(Tidstabel[[#This Row],[År]]&gt;Input_Tidshorisont,BlankTegn,
IF(Tidstabel[[#This Row],[År]]=0,0,Tidstabel[[#This Row],[FB_Uds?]]*FB_Enhedspris*((1+Tidstabel[[#This Row],[Kalkulationsrente]])^-Tidstabel[[#This Row],[År]])*((1+PrisudviklingGenerelt)^Tidstabel[[#This Row],[År]]))),BlankTegn)</f>
        <v>.</v>
      </c>
      <c r="BC68" s="262" t="str">
        <f>IFERROR(IF(Tidstabel[[#This Row],[År]]&gt;Input_Tidshorisont,BlankTegn,
IF(Tidstabel[[#This Row],[År]]=0,0,Tidstabel[[#This Row],[FB_Uds?]]*-FB_Enhedspris*FB_Genoprettelse*((1+Tidstabel[[#This Row],[Kalkulationsrente]])^-Tidstabel[[#This Row],[År]])*((1+PrisudviklingGenerelt)^Tidstabel[[#This Row],[År]]))),BlankTegn)</f>
        <v>.</v>
      </c>
      <c r="BD68" s="245" t="str">
        <f>IFERROR(IF(Tidstabel[[#This Row],[År]]&gt;Input_Tidshorisont,BlankTegn,
IF(Tidstabel[[#This Row],[År]]=0,-VS_Enhedspris,0)),BlankTegn)</f>
        <v>.</v>
      </c>
      <c r="BE68" s="245" t="str">
        <f>IFERROR(IF(Tidstabel[[#This Row],[År]]&gt;Input_Tidshorisont,BlankTegn,
IF(Tidstabel[[#This Row],[År]]=0,VS_Enhedspris/VS_Levetid,BE67*((1+Tidstabel[[#This Row],[Kalkulationsrente]])^-1)*((1+PrisudviklingGenerelt)^1))),BlankTegn)</f>
        <v>.</v>
      </c>
      <c r="BF68" s="178" t="str">
        <f ca="1">IFERROR(IF(Tidstabel[[#This Row],[År]]&gt;Input_Tidshorisont,BlankTegn,
IF(VS_Vedligehold_i=1,IF(Tidstabel[[#This Row],[VS_Uds?]]=0,1,0),IF(MAX(BF67:OFFSET(BG67,2-VS_Vedligehold_i,0),Tidstabel[[#This Row],[VS_Uds?]])=0,1,0))),BlankTegn)</f>
        <v>.</v>
      </c>
      <c r="BG68" s="178" t="str">
        <f>IFERROR(IF(Tidstabel[[#This Row],[År]]&gt;Input_Tidshorisont,BlankTegn,
IF(Tidstabel[[#This Row],[År]]=0,1,IF(MOD(Tidstabel[[#This Row],[År]],VS_Levetid)=0,1,IF(Tidstabel[[#This Row],[År]]=Input_Tidshorisont,0,0)))),BlankTegn)</f>
        <v>.</v>
      </c>
      <c r="BH68" s="245" t="str">
        <f>IFERROR(IF(Tidstabel[[#This Row],[År]]&gt;Input_Tidshorisont,BlankTegn,
VS_Vedligehold_p*-VS_Enhedspris*Tidstabel[[#This Row],[VS_Ved?]]*((1+Tidstabel[[#This Row],[Kalkulationsrente]])^-Tidstabel[[#This Row],[År]])*((1+PrisudviklingGenerelt)^Tidstabel[[#This Row],[År]])),BlankTegn)</f>
        <v>.</v>
      </c>
      <c r="BI68" s="245" t="str">
        <f>IFERROR(IF(Tidstabel[[#This Row],[År]]&gt;Input_Tidshorisont,BlankTegn,
IF(Tidstabel[[#This Row],[År]]=0,VS_Enhedspris,SUM(BI67:BJ67)*((1+Tidstabel[[#This Row],[Kalkulationsrente]])^-1)*((1+PrisudviklingGenerelt)^1)-Tidstabel[[#This Row],[VS_Afskrivning]])),BlankTegn)</f>
        <v>.</v>
      </c>
      <c r="BJ68" s="245" t="str">
        <f>IFERROR(IF(Tidstabel[[#This Row],[År]]&gt;Input_Tidshorisont,BlankTegn,
IF(Tidstabel[[#This Row],[År]]=0,0,Tidstabel[[#This Row],[VS_Uds?]]*VS_Enhedspris*((1+Tidstabel[[#This Row],[Kalkulationsrente]])^-Tidstabel[[#This Row],[År]])*((1+PrisudviklingGenerelt)^Tidstabel[[#This Row],[År]]))),BlankTegn)</f>
        <v>.</v>
      </c>
      <c r="BK68" s="262" t="str">
        <f>IFERROR(IF(Tidstabel[[#This Row],[År]]&gt;Input_Tidshorisont,BlankTegn,
IF(Tidstabel[[#This Row],[År]]=0,0,Tidstabel[[#This Row],[VS_Uds?]]*-VS_Enhedspris*VS_Genoprettelse*((1+Tidstabel[[#This Row],[Kalkulationsrente]])^-Tidstabel[[#This Row],[År]])*((1+PrisudviklingGenerelt)^Tidstabel[[#This Row],[År]]))),BlankTegn)</f>
        <v>.</v>
      </c>
      <c r="BL68" s="245" t="str">
        <f>IFERROR(IF(Tidstabel[[#This Row],[År]]&gt;Input_Tidshorisont,BlankTegn,
IF(Tidstabel[[#This Row],[År]]=0,-EI_Enhedspris,0)),BlankTegn)</f>
        <v>.</v>
      </c>
      <c r="BM68" s="245" t="str">
        <f>IFERROR(IF(Tidstabel[[#This Row],[År]]&gt;Input_Tidshorisont,BlankTegn,
IF(Tidstabel[[#This Row],[År]]=0,EI_Enhedspris/EI_Levetid,BM67*((1+Tidstabel[[#This Row],[Kalkulationsrente]])^-1)*((1+PrisudviklingGenerelt)^1))),BlankTegn)</f>
        <v>.</v>
      </c>
      <c r="BN68" s="178" t="str">
        <f ca="1">IFERROR(IF(Tidstabel[[#This Row],[År]]&gt;Input_Tidshorisont,BlankTegn,
IF(EI_Vedligehold_i=1,IF(Tidstabel[[#This Row],[EI_Uds?]]=0,1,0),IF(MAX(BN67:OFFSET(BO67,2-EI_Vedligehold_i,0),Tidstabel[[#This Row],[EI_Uds?]])=0,1,0))),BlankTegn)</f>
        <v>.</v>
      </c>
      <c r="BO68" s="178" t="str">
        <f>IFERROR(IF(Tidstabel[[#This Row],[År]]&gt;Input_Tidshorisont,BlankTegn,
IF(Tidstabel[[#This Row],[År]]=0,1,IF(MOD(Tidstabel[[#This Row],[År]],EI_Levetid)=0,1,IF(Tidstabel[[#This Row],[År]]=Input_Tidshorisont,0,0)))),BlankTegn)</f>
        <v>.</v>
      </c>
      <c r="BP68" s="245" t="str">
        <f>IFERROR(IF(Tidstabel[[#This Row],[År]]&gt;Input_Tidshorisont,BlankTegn,
EI_Vedligehold_p*-EI_Enhedspris*Tidstabel[[#This Row],[EI_Ved?]]*((1+Tidstabel[[#This Row],[Kalkulationsrente]])^-Tidstabel[[#This Row],[År]])*((1+PrisudviklingGenerelt)^Tidstabel[[#This Row],[År]])),BlankTegn)</f>
        <v>.</v>
      </c>
      <c r="BQ68" s="245" t="str">
        <f>IFERROR(IF(Tidstabel[[#This Row],[År]]&gt;Input_Tidshorisont,BlankTegn,
IF(Tidstabel[[#This Row],[År]]=0,EI_Enhedspris,SUM(BQ67:BR67)*((1+Tidstabel[[#This Row],[Kalkulationsrente]])^-1)*((1+PrisudviklingGenerelt)^1)-Tidstabel[[#This Row],[EI_Afskrivning]])),BlankTegn)</f>
        <v>.</v>
      </c>
      <c r="BR68" s="245" t="str">
        <f>IFERROR(IF(Tidstabel[[#This Row],[År]]&gt;Input_Tidshorisont,BlankTegn,
IF(Tidstabel[[#This Row],[År]]=0,0,Tidstabel[[#This Row],[EI_Uds?]]*EI_Enhedspris*((1+Tidstabel[[#This Row],[Kalkulationsrente]])^-Tidstabel[[#This Row],[År]])*((1+PrisudviklingGenerelt)^Tidstabel[[#This Row],[År]]))),BlankTegn)</f>
        <v>.</v>
      </c>
      <c r="BS68" s="262" t="str">
        <f>IFERROR(IF(Tidstabel[[#This Row],[År]]&gt;Input_Tidshorisont,BlankTegn,
IF(Tidstabel[[#This Row],[År]]=0,0,Tidstabel[[#This Row],[EI_Uds?]]*-EI_Enhedspris*EI_Genoprettelse*((1+Tidstabel[[#This Row],[Kalkulationsrente]])^-Tidstabel[[#This Row],[År]])*((1+PrisudviklingGenerelt)^Tidstabel[[#This Row],[År]]))),BlankTegn)</f>
        <v>.</v>
      </c>
      <c r="BT68" s="245" t="str">
        <f>IFERROR(IF(Tidstabel[[#This Row],[År]]&gt;Input_Tidshorisont,BlankTegn,
IF(Tidstabel[[#This Row],[År]]=0,-AP_Enhedspris,0)),BlankTegn)</f>
        <v>.</v>
      </c>
      <c r="BU68" s="245" t="str">
        <f>IFERROR(IF(Tidstabel[[#This Row],[År]]&gt;Input_Tidshorisont,BlankTegn,
IF(Tidstabel[[#This Row],[År]]=0,AP_Enhedspris/AP_Levetid,BU67*((1+Tidstabel[[#This Row],[Kalkulationsrente]])^-1)*((1+PrisudviklingGenerelt)^1))),BlankTegn)</f>
        <v>.</v>
      </c>
      <c r="BV68" s="178" t="str">
        <f ca="1">IFERROR(IF(Tidstabel[[#This Row],[År]]&gt;Input_Tidshorisont,BlankTegn,
IF(AP_Vedligehold_i=1,IF(Tidstabel[[#This Row],[AP_Uds?]]=0,1,0),IF(MAX(BV67:OFFSET(BW67,2-AP_Vedligehold_i,0),Tidstabel[[#This Row],[AP_Uds?]])=0,1,0))),BlankTegn)</f>
        <v>.</v>
      </c>
      <c r="BW68" s="178" t="str">
        <f>IFERROR(IF(Tidstabel[[#This Row],[År]]&gt;Input_Tidshorisont,BlankTegn,
IF(Tidstabel[[#This Row],[År]]=0,1,IF(MOD(Tidstabel[[#This Row],[År]],AP_Levetid)=0,1,IF(Tidstabel[[#This Row],[År]]=Input_Tidshorisont,0,0)))),BlankTegn)</f>
        <v>.</v>
      </c>
      <c r="BX68" s="245" t="str">
        <f>IFERROR(IF(Tidstabel[[#This Row],[År]]&gt;Input_Tidshorisont,BlankTegn,
AP_Vedligehold_p*-AP_Enhedspris*Tidstabel[[#This Row],[AP_Ved?]]*((1+Tidstabel[[#This Row],[Kalkulationsrente]])^-Tidstabel[[#This Row],[År]])*((1+PrisudviklingGenerelt)^Tidstabel[[#This Row],[År]])),BlankTegn)</f>
        <v>.</v>
      </c>
      <c r="BY68" s="245" t="str">
        <f>IFERROR(IF(Tidstabel[[#This Row],[År]]&gt;Input_Tidshorisont,BlankTegn,
IF(Tidstabel[[#This Row],[År]]=0,AP_Enhedspris,SUM(BY67:BZ67)*((1+Tidstabel[[#This Row],[Kalkulationsrente]])^-1)*((1+PrisudviklingGenerelt)^1)-Tidstabel[[#This Row],[AP_Afskrivning]])),BlankTegn)</f>
        <v>.</v>
      </c>
      <c r="BZ68" s="245" t="str">
        <f>IFERROR(IF(Tidstabel[[#This Row],[År]]&gt;Input_Tidshorisont,BlankTegn,
IF(Tidstabel[[#This Row],[År]]=0,0,Tidstabel[[#This Row],[AP_Uds?]]*AP_Enhedspris*((1+Tidstabel[[#This Row],[Kalkulationsrente]])^-Tidstabel[[#This Row],[År]])*((1+PrisudviklingGenerelt)^Tidstabel[[#This Row],[År]]))),BlankTegn)</f>
        <v>.</v>
      </c>
      <c r="CA68" s="262" t="str">
        <f>IFERROR(IF(Tidstabel[[#This Row],[År]]&gt;Input_Tidshorisont,BlankTegn,
IF(Tidstabel[[#This Row],[År]]=0,0,Tidstabel[[#This Row],[AP_Uds?]]*-AP_Enhedspris*AP_Genoprettelse*((1+Tidstabel[[#This Row],[Kalkulationsrente]])^-Tidstabel[[#This Row],[År]])*((1+PrisudviklingGenerelt)^Tidstabel[[#This Row],[År]]))),BlankTegn)</f>
        <v>.</v>
      </c>
      <c r="CB68" s="245" t="str">
        <f>IFERROR(IF(Tidstabel[[#This Row],[År]]&gt;Input_Tidshorisont,BlankTegn,
IF(Tidstabel[[#This Row],[År]]=0,-SK_Enhedspris,0)),BlankTegn)</f>
        <v>.</v>
      </c>
      <c r="CC68" s="245" t="str">
        <f>IFERROR(IF(Tidstabel[[#This Row],[År]]&gt;Input_Tidshorisont,BlankTegn,
IF(Tidstabel[[#This Row],[År]]=0,SK_Enhedspris/SK_Levetid,CC67*((1+Tidstabel[[#This Row],[Kalkulationsrente]])^-1)*((1+PrisudviklingGenerelt)^1))),BlankTegn)</f>
        <v>.</v>
      </c>
      <c r="CD68" s="178" t="str">
        <f ca="1">IFERROR(IF(Tidstabel[[#This Row],[År]]&gt;Input_Tidshorisont,BlankTegn,
IF(SK_Vedligehold_i=1,IF(Tidstabel[[#This Row],[SK_Uds?]]=0,1,0),IF(MAX(CD67:OFFSET(CE67,2-SK_Vedligehold_i,0),Tidstabel[[#This Row],[SK_Uds?]])=0,1,0))),BlankTegn)</f>
        <v>.</v>
      </c>
      <c r="CE68" s="178" t="str">
        <f>IFERROR(IF(Tidstabel[[#This Row],[År]]&gt;Input_Tidshorisont,BlankTegn,
IF(Tidstabel[[#This Row],[År]]=0,1,IF(MOD(Tidstabel[[#This Row],[År]],SK_Levetid)=0,1,IF(Tidstabel[[#This Row],[År]]=Input_Tidshorisont,0,0)))),BlankTegn)</f>
        <v>.</v>
      </c>
      <c r="CF68" s="245" t="str">
        <f>IFERROR(IF(Tidstabel[[#This Row],[År]]&gt;Input_Tidshorisont,BlankTegn,
SK_Vedligehold_p*-SK_Enhedspris*Tidstabel[[#This Row],[SK_Ved?]]*((1+Tidstabel[[#This Row],[Kalkulationsrente]])^-Tidstabel[[#This Row],[År]])*((1+PrisudviklingGenerelt)^Tidstabel[[#This Row],[År]])),BlankTegn)</f>
        <v>.</v>
      </c>
      <c r="CG68" s="245" t="str">
        <f>IFERROR(IF(Tidstabel[[#This Row],[År]]&gt;Input_Tidshorisont,BlankTegn,
IF(Tidstabel[[#This Row],[År]]=0,SK_Enhedspris,SUM(CG67:CH67)*((1+Tidstabel[[#This Row],[Kalkulationsrente]])^-1)*((1+PrisudviklingGenerelt)^1)-Tidstabel[[#This Row],[SK_Afskrivning]])),BlankTegn)</f>
        <v>.</v>
      </c>
      <c r="CH68" s="245" t="str">
        <f>IFERROR(IF(Tidstabel[[#This Row],[År]]&gt;Input_Tidshorisont,BlankTegn,
IF(Tidstabel[[#This Row],[År]]=0,0,Tidstabel[[#This Row],[SK_Uds?]]*SK_Enhedspris*((1+Tidstabel[[#This Row],[Kalkulationsrente]])^-Tidstabel[[#This Row],[År]])*((1+PrisudviklingGenerelt)^Tidstabel[[#This Row],[År]]))),BlankTegn)</f>
        <v>.</v>
      </c>
      <c r="CI68" s="262" t="str">
        <f>IFERROR(IF(Tidstabel[[#This Row],[År]]&gt;Input_Tidshorisont,BlankTegn,
IF(Tidstabel[[#This Row],[År]]=0,0,Tidstabel[[#This Row],[SK_Uds?]]*-SK_Enhedspris*SK_Genoprettelse*((1+Tidstabel[[#This Row],[Kalkulationsrente]])^-Tidstabel[[#This Row],[År]])*((1+PrisudviklingGenerelt)^Tidstabel[[#This Row],[År]]))),BlankTegn)</f>
        <v>.</v>
      </c>
      <c r="CJ68" s="19"/>
    </row>
    <row r="69" spans="1:88">
      <c r="A69" s="250">
        <v>62</v>
      </c>
      <c r="B69" s="250">
        <f>Input_Etableringsår+Tidstabel[[#This Row],[År]]</f>
        <v>2086</v>
      </c>
      <c r="C69" s="274" cm="1">
        <f t="array" ref="C69">_xlfn.IFS(Tidstabel[[#This Row],[År]]&gt;KR_Trin3_Tærskel,KR_Trin3_Rente,Tidstabel[[#This Row],[År]]&gt;KR_Trin2_Tærskel,KR_Trin2_Rente,Tidstabel[[#This Row],[År]]&gt;KR_Trin1_Tærskel,KR_Trin1_Rente,Tidstabel[[#This Row],[År]]&gt;KR_Trin0_Tærskel,KR_Trin0_Rente)</f>
        <v>2.5000000000000001E-2</v>
      </c>
      <c r="D69" s="142" t="str" cm="1">
        <f t="array" ref="D69">IFERROR(
INDEX(Range_Materiale_ÅrligeEmissioner,MATCH(1,(Materialedata[Komponent]=FB_Titel)*(Materialedata[Materiale]=FB_Materiale),0),MATCH(Tidstabel[[#This Row],[År]],Range_Materiale_År,0)),BlankTegn)</f>
        <v>.</v>
      </c>
      <c r="E69" s="142" t="str" cm="1">
        <f t="array" ref="E69">IFERROR(
INDEX(Range_Materiale_ÅrligeEmissioner,MATCH(1,(Materialedata[Komponent]=SK_Titel)*(Materialedata[Materiale]=SK_Materiale),0),MATCH(Tidstabel[[#This Row],[År]],Range_Materiale_År,0)),BlankTegn)</f>
        <v>.</v>
      </c>
      <c r="F69" s="142" t="str" cm="1">
        <f t="array" ref="F69">IFERROR(
INDEX(Range_Materiale_ÅrligeEmissioner,MATCH(1,(Materialedata[Komponent]=EI_Titel)*(Materialedata[Materiale]=EI_Materiale),0),MATCH(Tidstabel[[#This Row],[År]],Range_Materiale_År,0)),BlankTegn)</f>
        <v>.</v>
      </c>
      <c r="G69" s="142" t="str" cm="1">
        <f t="array" ref="G69">IFERROR(
INDEX(Range_Materiale_ÅrligeEmissioner,MATCH(1,(Materialedata[Komponent]=AP_Titel)*(Materialedata[Materiale]=AP_Materiale),0),MATCH(Tidstabel[[#This Row],[År]],Range_Materiale_År,0)),BlankTegn)</f>
        <v>.</v>
      </c>
      <c r="H69" s="142" t="str" cm="1">
        <f t="array" ref="H69">IFERROR(
INDEX(Range_Materiale_ÅrligeEmissioner,MATCH(1,(Materialedata[Komponent]=VS_Titel)*(Materialedata[Materiale]=VS_Materiale),0),MATCH(Tidstabel[[#This Row],[År]],Range_Materiale_År,0)),BlankTegn)</f>
        <v>.</v>
      </c>
      <c r="I69" s="142" t="str">
        <f>IFERROR(
IF(SUM(Tidstabel[[#This Row],[Facadebeklædning]:[Vindspærre]])=0,BlankTegn,
SUM(Tidstabel[[#This Row],[Facadebeklædning]:[Vindspærre]])),BlankTegn)</f>
        <v>.</v>
      </c>
      <c r="J69" s="139" t="str">
        <f>IF(Tidstabel[[#This Row],[År]]&gt;Input_Tidshorisont,BlankTegn,
A5_ElVarmeBrændstofByggeplads)</f>
        <v>.</v>
      </c>
      <c r="K69" s="142" t="str">
        <f>IFERROR(IF(Tidstabel[[#This Row],[År]]&gt;Input_Tidshorisont,BlankTegn,
-1*INDEX(Range_Energi_ÅrligBesparelse,MATCH(Input_EksisterendeFacade,Energiberegning[Ydervæg],0),MATCH(Tidstabel[[#This Row],[Årstal]],Range_Energi_Årstal,0))),BlankTegn)</f>
        <v>.</v>
      </c>
      <c r="L69" s="142" t="str">
        <f>IF(Tidstabel[[#This Row],[År]]&gt;Input_Tidshorisont,BlankTegn,
(Tidstabel[[#This Row],[År]]+1)*(SUM(Vedligeholdelsesmaterialer[Facadefarve],Vedligeholdelsesmaterialer[Grunder og mellemmaling])/12+SUM(Vedligeholdelsesmaterialer[Puds])/30))</f>
        <v>.</v>
      </c>
      <c r="M69" s="142" t="str">
        <f>IFERROR(IF(Tidstabel[[#This Row],[År]]&gt;Input_Tidshorisont,BlankTegn,
Tidstabel[[#This Row],[Materialer_Total]]+Tidstabel[[#This Row],[Byggeprocess]]),BlankTegn)</f>
        <v>.</v>
      </c>
      <c r="N69" s="142" t="str">
        <f>IFERROR(IF(Tidstabel[[#This Row],[År]]&gt;Input_Tidshorisont,BlankTegn,
Tidstabel[[#This Row],[Energibesparelse]]+Tidstabel[[#This Row],[Emission_Brutto]]),BlankTegn)</f>
        <v>.</v>
      </c>
      <c r="O69" s="142" t="str">
        <f>IFERROR(IF(Tidstabel[[#This Row],[År]]&gt;Input_Tidshorisont,BlankTegn,
Tidstabel[[#This Row],[Emission_Netto]]-Tidstabel[[#This Row],[Vedligehold_EksisterendeFacade]]),BlankTegn)</f>
        <v>.</v>
      </c>
      <c r="P69" s="271" t="str">
        <f>IFERROR(IF(Tidstabel[[#This Row],[År]]&gt;Input_Tidshorisont,BlankTegn,
IF(AND(Tidstabel[[#This Row],[Emission_Netto]]-Tidstabel[[#This Row],[Vedligehold_EksisterendeFacade]]&gt;0,N70-L70&lt;0),-1,IF(AND(Tidstabel[[#This Row],[Emission_Netto]]-Tidstabel[[#This Row],[Vedligehold_EksisterendeFacade]]&lt;0,N70-L70&gt;0),1,0))),BlankTegn)</f>
        <v>.</v>
      </c>
      <c r="Q69" s="174" t="str">
        <f>IF(Tidstabel[[#This Row],[År]]&gt;Input_Tidshorisont,BlankTegn,
IF(Tidstabel[[#This Row],[LCA-Skæring]]=-1,SUM(Tidstabel[[#This Row],[År]]*(1-ABS(Tidstabel[[#This Row],[LCA-Difference]])/(ABS(Tidstabel[[#This Row],[LCA-Difference]])+ABS(O70))),A70*(1-ABS(O70)/(ABS(Tidstabel[[#This Row],[LCA-Difference]])+ABS(O70)))),"-"))</f>
        <v>.</v>
      </c>
      <c r="R69" s="174" t="str">
        <f>IF(Tidstabel[[#This Row],[År]]&gt;Input_Tidshorisont,BlankTegn,
IF(Tidstabel[[#This Row],[LCA-Skæring]]=-1,SUM(Tidstabel[[#This Row],[Emission_Netto]]*(1-ABS(Tidstabel[[#This Row],[LCA-Difference]])/(ABS(Tidstabel[[#This Row],[LCA-Difference]])+ABS(O70))),N70*(1-ABS(O70)/(ABS(Tidstabel[[#This Row],[LCA-Difference]])+ABS(O70)))),"-"))</f>
        <v>.</v>
      </c>
      <c r="S69" s="174" t="str">
        <f>IF(Tidstabel[[#This Row],[År]]&gt;Input_Tidshorisont,BlankTegn,
IF(Tidstabel[[#This Row],[LCA-Skæring]]=1,SUM(Tidstabel[[#This Row],[År]]*(1-ABS(Tidstabel[[#This Row],[LCA-Difference]])/(ABS(Tidstabel[[#This Row],[LCA-Difference]])+ABS(O70))),A70*(1-ABS(O70)/(ABS(Tidstabel[[#This Row],[LCA-Difference]])+ABS(O70)))),"-"))</f>
        <v>.</v>
      </c>
      <c r="T69" s="264" t="str">
        <f>IF(Tidstabel[[#This Row],[År]]&gt;Input_Tidshorisont,BlankTegn,
IF(Tidstabel[[#This Row],[LCA-Skæring]]=1,SUM(Tidstabel[[#This Row],[Emission_Netto]]*(1-ABS(Tidstabel[[#This Row],[LCA-Difference]])/(ABS(Tidstabel[[#This Row],[LCA-Difference]])+ABS(O70))),N70*(1-ABS(O70)/(ABS(Tidstabel[[#This Row],[LCA-Difference]])+ABS(O70)))),"-"))</f>
        <v>.</v>
      </c>
      <c r="U69" s="142" t="str">
        <f>IFERROR(IF(Tidstabel[[#This Row],[År]]&gt;Input_Tidshorisont,BlankTegn,
Tidstabel[[#This Row],[NPV_Klimafacade]]-Tidstabel[[#This Row],[NPV_Eksisterende]]),BlankTegn)</f>
        <v>.</v>
      </c>
      <c r="V69" s="271" t="str">
        <f>IFERROR(IF(Tidstabel[[#This Row],[År]]&gt;Input_Tidshorisont,BlankTegn,
IF(AND(Tidstabel[[#This Row],[NPV_Klimafacade]]-Tidstabel[[#This Row],[NPV_Eksisterende]]&gt;0,AB70-AA70&lt;0),1,IF(AND(Tidstabel[[#This Row],[NPV_Klimafacade]]-Tidstabel[[#This Row],[NPV_Eksisterende]]&lt;0,AB70-AA70&gt;0),-1,0))),BlankTegn)</f>
        <v>.</v>
      </c>
      <c r="W69" s="174" t="str">
        <f>IF(Tidstabel[[#This Row],[År]]&gt;Input_Tidshorisont,BlankTegn,
IF(Tidstabel[[#This Row],[LCC-Skæring]]=-1,SUM(Tidstabel[[#This Row],[År]]*(1-ABS(Tidstabel[[#This Row],[LCC-Difference]])/(ABS(Tidstabel[[#This Row],[LCC-Difference]])+ABS(U70))),A70*(1-ABS(U70)/(ABS(Tidstabel[[#This Row],[LCC-Difference]])+ABS(U70)))),"-"))</f>
        <v>.</v>
      </c>
      <c r="X69" s="174" t="str">
        <f>IF(Tidstabel[[#This Row],[År]]&gt;Input_Tidshorisont,BlankTegn,
IF(Tidstabel[[#This Row],[LCC-Skæring]]=-1,SUM(Tidstabel[[#This Row],[NPV_Klimafacade]]*(1-ABS(Tidstabel[[#This Row],[LCC-Difference]])/(ABS(Tidstabel[[#This Row],[LCC-Difference]])+ABS(U70))),AB70*(1-ABS(U70)/(ABS(Tidstabel[[#This Row],[LCC-Difference]])+ABS(U70)))),"-"))</f>
        <v>.</v>
      </c>
      <c r="Y69" s="174" t="str">
        <f>IF(Tidstabel[[#This Row],[År]]&gt;Input_Tidshorisont,BlankTegn,
IF(Tidstabel[[#This Row],[LCC-Skæring]]=1,SUM(Tidstabel[[#This Row],[År]]*(1-ABS(Tidstabel[[#This Row],[LCC-Difference]])/(ABS(Tidstabel[[#This Row],[LCC-Difference]])+ABS(U70))),A70*(1-ABS(U70)/(ABS(Tidstabel[[#This Row],[LCC-Difference]])+ABS(U70)))),"-"))</f>
        <v>.</v>
      </c>
      <c r="Z69" s="264" t="str">
        <f>IF(Tidstabel[[#This Row],[År]]&gt;Input_Tidshorisont,BlankTegn,
IF(Tidstabel[[#This Row],[LCC-Skæring]]=1,SUM(Tidstabel[[#This Row],[NPV_Klimafacade]]*(1-ABS(Tidstabel[[#This Row],[LCC-Difference]])/(ABS(Tidstabel[[#This Row],[LCC-Difference]])+ABS(U70))),AB70*(1-ABS(U70)/(ABS(Tidstabel[[#This Row],[LCC-Difference]])+ABS(U70)))),"-"))</f>
        <v>.</v>
      </c>
      <c r="AA69" s="142" t="str">
        <f>IF(Tidstabel[[#This Row],[År]]&gt;Input_Tidshorisont,BlankTegn,
Tidstabel[[#This Row],[EF_Vedligehold_Aggregeret]])</f>
        <v>.</v>
      </c>
      <c r="AB69"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69" s="142" t="str">
        <f>IFERROR(IF(Tidstabel[[#This Row],[År]]&gt;Input_Tidshorisont,BlankTegn,
Tidstabel[[#This Row],[KF_Anskaffelse_Aggregeret]]+Tidstabel[[#This Row],[KF_Engangsudgifter_Aggregeret]]),BlankTegn)</f>
        <v>.</v>
      </c>
      <c r="AD69" s="174" t="str">
        <f>IFERROR(IF(Tidstabel[[#This Row],[År]]&gt;Input_Tidshorisont,BlankTegn,
IF(Tidstabel[[#This Row],[År]]=0,0,Tidstabel[[#This Row],[NPV_Eksisterende]]*(Tidstabel[[#This Row],[Kalkulationsrente]]/(1-(1+Tidstabel[[#This Row],[Kalkulationsrente]])^-Tidstabel[[#This Row],[År]])))),BlankTegn)</f>
        <v>.</v>
      </c>
      <c r="AE69" s="264" t="str">
        <f>IFERROR(IF(Tidstabel[[#This Row],[År]]&gt;Input_Tidshorisont,BlankTegn,
IF(Tidstabel[[#This Row],[År]]=0,0,Tidstabel[[#This Row],[NPV_Klimafacade]]*(Tidstabel[[#This Row],[Kalkulationsrente]]/(1-(1+Tidstabel[[#This Row],[Kalkulationsrente]])^-Tidstabel[[#This Row],[År]])))),BlankTegn)</f>
        <v>.</v>
      </c>
      <c r="AF69" s="270" t="str">
        <f ca="1">IF(Tidstabel[[#This Row],[År]]&gt;Input_Tidshorisont,BlankTegn,
IF(EF_Vedligehold_i=1,IF(Tidstabel[[#This Row],[EF_Uds?]]=0,1,0),IF(MAX(AF68:OFFSET(AG68,2-EF_Vedligehold_i,0),Tidstabel[[#This Row],[EF_Uds?]])=0,1,0)))</f>
        <v>.</v>
      </c>
      <c r="AG69" s="181" t="str">
        <f>IF(Tidstabel[[#This Row],[År]]&gt;Input_Tidshorisont,BlankTegn,0)</f>
        <v>.</v>
      </c>
      <c r="AH69" s="263" t="str">
        <f>IF(Tidstabel[[#This Row],[År]]&gt;Input_Tidshorisont,BlankTegn,
Tidstabel[[#This Row],[EF_Ved?]]*EF_Vedligehold_p*-EF_Enhedspris*((1+Tidstabel[[#This Row],[Kalkulationsrente]])^-Tidstabel[[#This Row],[År]])*((1+PrisudviklingGenerelt)^Tidstabel[[#This Row],[År]]))</f>
        <v>.</v>
      </c>
      <c r="AI69" s="262" t="str">
        <f>IF(Tidstabel[[#This Row],[År]]&gt;Input_Tidshorisont,BlankTegn,
IF(Tidstabel[[#This Row],[År]]=0,Tidstabel[[#This Row],[EF_Vedligehold]],AI68+Tidstabel[[#This Row],[EF_Vedligehold]]))</f>
        <v>.</v>
      </c>
      <c r="AJ69" s="245" t="str">
        <f>IFERROR(IF(Tidstabel[[#This Row],[År]]&gt;Input_Tidshorisont,BlankTegn,
Tidstabel[[#This Row],[FB_Anskaffelse]]+Tidstabel[[#This Row],[VS_Anskaffelse]]+Tidstabel[[#This Row],[EI_Anskaffelse]]+Tidstabel[[#This Row],[AP_Anskaffelse]]+Tidstabel[[#This Row],[SK_Anskaffelse]]),BlankTegn)</f>
        <v>.</v>
      </c>
      <c r="AK69" s="245" t="str">
        <f>IFERROR(IF(Tidstabel[[#This Row],[År]]&gt;Input_Tidshorisont,BlankTegn,
IF(Tidstabel[[#This Row],[År]]=0,Tidstabel[[#This Row],[KF_Anskaffelse]],AK68+Tidstabel[[#This Row],[KF_Anskaffelse]])),BlankTegn)</f>
        <v>.</v>
      </c>
      <c r="AL69" s="246" t="str">
        <f>IFERROR(IF(Tidstabel[[#This Row],[År]]&gt;Input_Tidshorisont,BlankTegn,
Tidstabel[[#This Row],[FB_Vedligehold]]+Tidstabel[[#This Row],[VS_Vedligehold]]+Tidstabel[[#This Row],[EI_Vedligehold]]+Tidstabel[[#This Row],[AP_Vedligehold]]+Tidstabel[[#This Row],[SK_Vedligehold]]),BlankTegn)</f>
        <v>.</v>
      </c>
      <c r="AM69" s="245" t="str">
        <f>IFERROR(IF(Tidstabel[[#This Row],[År]]&gt;Input_Tidshorisont,BlankTegn,
IF(Tidstabel[[#This Row],[År]]=0,Tidstabel[[#This Row],[KF_Vedligehold]],AM68+Tidstabel[[#This Row],[KF_Vedligehold]])),BlankTegn)</f>
        <v>.</v>
      </c>
      <c r="AN69"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69"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69" s="245" t="str">
        <f>IFERROR(IF(Tidstabel[[#This Row],[År]]&gt;Input_Tidshorisont,BlankTegn,
IF(Tidstabel[[#This Row],[År]]=0,Tidstabel[[#This Row],[KF_Udskiftning_Komponent]],AP68+Tidstabel[[#This Row],[KF_Udskiftning_Komponent]])),BlankTegn)</f>
        <v>.</v>
      </c>
      <c r="AQ69" s="245" t="str">
        <f>IF(Tidstabel[[#This Row],[År]]&gt;Input_Tidshorisont,BlankTegn,
IF(Tidstabel[[#This Row],[År]]=0,-SUM(Engangsudgifter[Udgift]),0))</f>
        <v>.</v>
      </c>
      <c r="AR69" s="245" t="str">
        <f>IFERROR(IF(Tidstabel[[#This Row],[År]]&gt;Input_Tidshorisont,BlankTegn,
IF(Tidstabel[[#This Row],[År]]=0,Tidstabel[[#This Row],[KF_Engangsudgifter]],AR68+Tidstabel[[#This Row],[KF_Engangsudgifter]])),BlankTegn)</f>
        <v>.</v>
      </c>
      <c r="AS69" s="315" t="str">
        <f>IFERROR(IF(Tidstabel[[#This Row],[År]]&gt;Input_Tidshorisont,BlankTegn,
-Energibesparelse_Årlig),BlankTegn)</f>
        <v>.</v>
      </c>
      <c r="AT69" s="245" t="str">
        <f>IFERROR(IF(Tidstabel[[#This Row],[År]]&gt;Input_Tidshorisont,BlankTegn,
IF(Tidstabel[[#This Row],[År]]=0,0,-Tidstabel[[#This Row],[KF_Energiforbrug]]*Input_Fjernvarmepris*((1+Tidstabel[[#This Row],[Kalkulationsrente]])^-Tidstabel[[#This Row],[År]])*((1+PrisudviklingFjernvarme)^Tidstabel[[#This Row],[År]]))),BlankTegn)</f>
        <v>.</v>
      </c>
      <c r="AU69" s="262" t="str">
        <f>IFERROR(IF(Tidstabel[[#This Row],[År]]&gt;Input_Tidshorisont,BlankTegn,
IF(Tidstabel[[#This Row],[År]]=0,Tidstabel[[#This Row],[KF_Forsyning]],AU68+Tidstabel[[#This Row],[KF_Forsyning]])),BlankTegn)</f>
        <v>.</v>
      </c>
      <c r="AV69" s="245" t="str">
        <f>IFERROR(IF(Tidstabel[[#This Row],[År]]&gt;Input_Tidshorisont,BlankTegn,
IF(Tidstabel[[#This Row],[År]]=0,-FB_Enhedspris,0)),BlankTegn)</f>
        <v>.</v>
      </c>
      <c r="AW69" s="245" t="str">
        <f>IFERROR(IF(Tidstabel[[#This Row],[År]]&gt;Input_Tidshorisont,BlankTegn,
IF(Tidstabel[[#This Row],[År]]=0,FB_Enhedspris/FB_Levetid,AW68*((1+Tidstabel[[#This Row],[Kalkulationsrente]])^-1)*((1+PrisudviklingGenerelt)^1))),BlankTegn)</f>
        <v>.</v>
      </c>
      <c r="AX69" s="178" t="str">
        <f ca="1">IFERROR(IF(Tidstabel[[#This Row],[År]]&gt;Input_Tidshorisont,BlankTegn,
IF(FB_Vedligehold_i=1,IF(Tidstabel[[#This Row],[FB_Uds?]]=0,1,0),IF(MAX(AX68:OFFSET(AY68,2-FB_Vedligehold_i,0),Tidstabel[[#This Row],[FB_Uds?]])=0,1,0))),BlankTegn)</f>
        <v>.</v>
      </c>
      <c r="AY69" s="178" t="str">
        <f>IFERROR(IF(Tidstabel[[#This Row],[År]]&gt;Input_Tidshorisont,BlankTegn,
IF(Tidstabel[[#This Row],[År]]=0,1,IF(MOD(Tidstabel[[#This Row],[År]],FB_Levetid)=0,1,IF(Tidstabel[[#This Row],[År]]=Input_Tidshorisont,0,0)))),BlankTegn)</f>
        <v>.</v>
      </c>
      <c r="AZ69" s="245" t="str">
        <f>IFERROR(IF(Tidstabel[[#This Row],[År]]&gt;Input_Tidshorisont,BlankTegn,
FB_Vedligehold_p*-FB_Enhedspris*Tidstabel[[#This Row],[FB_Ved?]]*((1+Tidstabel[[#This Row],[Kalkulationsrente]])^-Tidstabel[[#This Row],[År]])*((1+PrisudviklingGenerelt)^Tidstabel[[#This Row],[År]])),BlankTegn)</f>
        <v>.</v>
      </c>
      <c r="BA69" s="245" t="str">
        <f>IFERROR(IF(Tidstabel[[#This Row],[År]]&gt;Input_Tidshorisont,BlankTegn,
IF(Tidstabel[[#This Row],[År]]=0,FB_Enhedspris,SUM(BA68:BB68)*((1+Tidstabel[[#This Row],[Kalkulationsrente]])^-1)*((1+PrisudviklingGenerelt)^1)-Tidstabel[[#This Row],[FB_Afskrivning]])),BlankTegn)</f>
        <v>.</v>
      </c>
      <c r="BB69" s="245" t="str">
        <f>IFERROR(IF(Tidstabel[[#This Row],[År]]&gt;Input_Tidshorisont,BlankTegn,
IF(Tidstabel[[#This Row],[År]]=0,0,Tidstabel[[#This Row],[FB_Uds?]]*FB_Enhedspris*((1+Tidstabel[[#This Row],[Kalkulationsrente]])^-Tidstabel[[#This Row],[År]])*((1+PrisudviklingGenerelt)^Tidstabel[[#This Row],[År]]))),BlankTegn)</f>
        <v>.</v>
      </c>
      <c r="BC69" s="262" t="str">
        <f>IFERROR(IF(Tidstabel[[#This Row],[År]]&gt;Input_Tidshorisont,BlankTegn,
IF(Tidstabel[[#This Row],[År]]=0,0,Tidstabel[[#This Row],[FB_Uds?]]*-FB_Enhedspris*FB_Genoprettelse*((1+Tidstabel[[#This Row],[Kalkulationsrente]])^-Tidstabel[[#This Row],[År]])*((1+PrisudviklingGenerelt)^Tidstabel[[#This Row],[År]]))),BlankTegn)</f>
        <v>.</v>
      </c>
      <c r="BD69" s="245" t="str">
        <f>IFERROR(IF(Tidstabel[[#This Row],[År]]&gt;Input_Tidshorisont,BlankTegn,
IF(Tidstabel[[#This Row],[År]]=0,-VS_Enhedspris,0)),BlankTegn)</f>
        <v>.</v>
      </c>
      <c r="BE69" s="245" t="str">
        <f>IFERROR(IF(Tidstabel[[#This Row],[År]]&gt;Input_Tidshorisont,BlankTegn,
IF(Tidstabel[[#This Row],[År]]=0,VS_Enhedspris/VS_Levetid,BE68*((1+Tidstabel[[#This Row],[Kalkulationsrente]])^-1)*((1+PrisudviklingGenerelt)^1))),BlankTegn)</f>
        <v>.</v>
      </c>
      <c r="BF69" s="178" t="str">
        <f ca="1">IFERROR(IF(Tidstabel[[#This Row],[År]]&gt;Input_Tidshorisont,BlankTegn,
IF(VS_Vedligehold_i=1,IF(Tidstabel[[#This Row],[VS_Uds?]]=0,1,0),IF(MAX(BF68:OFFSET(BG68,2-VS_Vedligehold_i,0),Tidstabel[[#This Row],[VS_Uds?]])=0,1,0))),BlankTegn)</f>
        <v>.</v>
      </c>
      <c r="BG69" s="178" t="str">
        <f>IFERROR(IF(Tidstabel[[#This Row],[År]]&gt;Input_Tidshorisont,BlankTegn,
IF(Tidstabel[[#This Row],[År]]=0,1,IF(MOD(Tidstabel[[#This Row],[År]],VS_Levetid)=0,1,IF(Tidstabel[[#This Row],[År]]=Input_Tidshorisont,0,0)))),BlankTegn)</f>
        <v>.</v>
      </c>
      <c r="BH69" s="245" t="str">
        <f>IFERROR(IF(Tidstabel[[#This Row],[År]]&gt;Input_Tidshorisont,BlankTegn,
VS_Vedligehold_p*-VS_Enhedspris*Tidstabel[[#This Row],[VS_Ved?]]*((1+Tidstabel[[#This Row],[Kalkulationsrente]])^-Tidstabel[[#This Row],[År]])*((1+PrisudviklingGenerelt)^Tidstabel[[#This Row],[År]])),BlankTegn)</f>
        <v>.</v>
      </c>
      <c r="BI69" s="245" t="str">
        <f>IFERROR(IF(Tidstabel[[#This Row],[År]]&gt;Input_Tidshorisont,BlankTegn,
IF(Tidstabel[[#This Row],[År]]=0,VS_Enhedspris,SUM(BI68:BJ68)*((1+Tidstabel[[#This Row],[Kalkulationsrente]])^-1)*((1+PrisudviklingGenerelt)^1)-Tidstabel[[#This Row],[VS_Afskrivning]])),BlankTegn)</f>
        <v>.</v>
      </c>
      <c r="BJ69" s="245" t="str">
        <f>IFERROR(IF(Tidstabel[[#This Row],[År]]&gt;Input_Tidshorisont,BlankTegn,
IF(Tidstabel[[#This Row],[År]]=0,0,Tidstabel[[#This Row],[VS_Uds?]]*VS_Enhedspris*((1+Tidstabel[[#This Row],[Kalkulationsrente]])^-Tidstabel[[#This Row],[År]])*((1+PrisudviklingGenerelt)^Tidstabel[[#This Row],[År]]))),BlankTegn)</f>
        <v>.</v>
      </c>
      <c r="BK69" s="262" t="str">
        <f>IFERROR(IF(Tidstabel[[#This Row],[År]]&gt;Input_Tidshorisont,BlankTegn,
IF(Tidstabel[[#This Row],[År]]=0,0,Tidstabel[[#This Row],[VS_Uds?]]*-VS_Enhedspris*VS_Genoprettelse*((1+Tidstabel[[#This Row],[Kalkulationsrente]])^-Tidstabel[[#This Row],[År]])*((1+PrisudviklingGenerelt)^Tidstabel[[#This Row],[År]]))),BlankTegn)</f>
        <v>.</v>
      </c>
      <c r="BL69" s="245" t="str">
        <f>IFERROR(IF(Tidstabel[[#This Row],[År]]&gt;Input_Tidshorisont,BlankTegn,
IF(Tidstabel[[#This Row],[År]]=0,-EI_Enhedspris,0)),BlankTegn)</f>
        <v>.</v>
      </c>
      <c r="BM69" s="245" t="str">
        <f>IFERROR(IF(Tidstabel[[#This Row],[År]]&gt;Input_Tidshorisont,BlankTegn,
IF(Tidstabel[[#This Row],[År]]=0,EI_Enhedspris/EI_Levetid,BM68*((1+Tidstabel[[#This Row],[Kalkulationsrente]])^-1)*((1+PrisudviklingGenerelt)^1))),BlankTegn)</f>
        <v>.</v>
      </c>
      <c r="BN69" s="178" t="str">
        <f ca="1">IFERROR(IF(Tidstabel[[#This Row],[År]]&gt;Input_Tidshorisont,BlankTegn,
IF(EI_Vedligehold_i=1,IF(Tidstabel[[#This Row],[EI_Uds?]]=0,1,0),IF(MAX(BN68:OFFSET(BO68,2-EI_Vedligehold_i,0),Tidstabel[[#This Row],[EI_Uds?]])=0,1,0))),BlankTegn)</f>
        <v>.</v>
      </c>
      <c r="BO69" s="178" t="str">
        <f>IFERROR(IF(Tidstabel[[#This Row],[År]]&gt;Input_Tidshorisont,BlankTegn,
IF(Tidstabel[[#This Row],[År]]=0,1,IF(MOD(Tidstabel[[#This Row],[År]],EI_Levetid)=0,1,IF(Tidstabel[[#This Row],[År]]=Input_Tidshorisont,0,0)))),BlankTegn)</f>
        <v>.</v>
      </c>
      <c r="BP69" s="245" t="str">
        <f>IFERROR(IF(Tidstabel[[#This Row],[År]]&gt;Input_Tidshorisont,BlankTegn,
EI_Vedligehold_p*-EI_Enhedspris*Tidstabel[[#This Row],[EI_Ved?]]*((1+Tidstabel[[#This Row],[Kalkulationsrente]])^-Tidstabel[[#This Row],[År]])*((1+PrisudviklingGenerelt)^Tidstabel[[#This Row],[År]])),BlankTegn)</f>
        <v>.</v>
      </c>
      <c r="BQ69" s="245" t="str">
        <f>IFERROR(IF(Tidstabel[[#This Row],[År]]&gt;Input_Tidshorisont,BlankTegn,
IF(Tidstabel[[#This Row],[År]]=0,EI_Enhedspris,SUM(BQ68:BR68)*((1+Tidstabel[[#This Row],[Kalkulationsrente]])^-1)*((1+PrisudviklingGenerelt)^1)-Tidstabel[[#This Row],[EI_Afskrivning]])),BlankTegn)</f>
        <v>.</v>
      </c>
      <c r="BR69" s="245" t="str">
        <f>IFERROR(IF(Tidstabel[[#This Row],[År]]&gt;Input_Tidshorisont,BlankTegn,
IF(Tidstabel[[#This Row],[År]]=0,0,Tidstabel[[#This Row],[EI_Uds?]]*EI_Enhedspris*((1+Tidstabel[[#This Row],[Kalkulationsrente]])^-Tidstabel[[#This Row],[År]])*((1+PrisudviklingGenerelt)^Tidstabel[[#This Row],[År]]))),BlankTegn)</f>
        <v>.</v>
      </c>
      <c r="BS69" s="262" t="str">
        <f>IFERROR(IF(Tidstabel[[#This Row],[År]]&gt;Input_Tidshorisont,BlankTegn,
IF(Tidstabel[[#This Row],[År]]=0,0,Tidstabel[[#This Row],[EI_Uds?]]*-EI_Enhedspris*EI_Genoprettelse*((1+Tidstabel[[#This Row],[Kalkulationsrente]])^-Tidstabel[[#This Row],[År]])*((1+PrisudviklingGenerelt)^Tidstabel[[#This Row],[År]]))),BlankTegn)</f>
        <v>.</v>
      </c>
      <c r="BT69" s="245" t="str">
        <f>IFERROR(IF(Tidstabel[[#This Row],[År]]&gt;Input_Tidshorisont,BlankTegn,
IF(Tidstabel[[#This Row],[År]]=0,-AP_Enhedspris,0)),BlankTegn)</f>
        <v>.</v>
      </c>
      <c r="BU69" s="245" t="str">
        <f>IFERROR(IF(Tidstabel[[#This Row],[År]]&gt;Input_Tidshorisont,BlankTegn,
IF(Tidstabel[[#This Row],[År]]=0,AP_Enhedspris/AP_Levetid,BU68*((1+Tidstabel[[#This Row],[Kalkulationsrente]])^-1)*((1+PrisudviklingGenerelt)^1))),BlankTegn)</f>
        <v>.</v>
      </c>
      <c r="BV69" s="178" t="str">
        <f ca="1">IFERROR(IF(Tidstabel[[#This Row],[År]]&gt;Input_Tidshorisont,BlankTegn,
IF(AP_Vedligehold_i=1,IF(Tidstabel[[#This Row],[AP_Uds?]]=0,1,0),IF(MAX(BV68:OFFSET(BW68,2-AP_Vedligehold_i,0),Tidstabel[[#This Row],[AP_Uds?]])=0,1,0))),BlankTegn)</f>
        <v>.</v>
      </c>
      <c r="BW69" s="178" t="str">
        <f>IFERROR(IF(Tidstabel[[#This Row],[År]]&gt;Input_Tidshorisont,BlankTegn,
IF(Tidstabel[[#This Row],[År]]=0,1,IF(MOD(Tidstabel[[#This Row],[År]],AP_Levetid)=0,1,IF(Tidstabel[[#This Row],[År]]=Input_Tidshorisont,0,0)))),BlankTegn)</f>
        <v>.</v>
      </c>
      <c r="BX69" s="245" t="str">
        <f>IFERROR(IF(Tidstabel[[#This Row],[År]]&gt;Input_Tidshorisont,BlankTegn,
AP_Vedligehold_p*-AP_Enhedspris*Tidstabel[[#This Row],[AP_Ved?]]*((1+Tidstabel[[#This Row],[Kalkulationsrente]])^-Tidstabel[[#This Row],[År]])*((1+PrisudviklingGenerelt)^Tidstabel[[#This Row],[År]])),BlankTegn)</f>
        <v>.</v>
      </c>
      <c r="BY69" s="245" t="str">
        <f>IFERROR(IF(Tidstabel[[#This Row],[År]]&gt;Input_Tidshorisont,BlankTegn,
IF(Tidstabel[[#This Row],[År]]=0,AP_Enhedspris,SUM(BY68:BZ68)*((1+Tidstabel[[#This Row],[Kalkulationsrente]])^-1)*((1+PrisudviklingGenerelt)^1)-Tidstabel[[#This Row],[AP_Afskrivning]])),BlankTegn)</f>
        <v>.</v>
      </c>
      <c r="BZ69" s="245" t="str">
        <f>IFERROR(IF(Tidstabel[[#This Row],[År]]&gt;Input_Tidshorisont,BlankTegn,
IF(Tidstabel[[#This Row],[År]]=0,0,Tidstabel[[#This Row],[AP_Uds?]]*AP_Enhedspris*((1+Tidstabel[[#This Row],[Kalkulationsrente]])^-Tidstabel[[#This Row],[År]])*((1+PrisudviklingGenerelt)^Tidstabel[[#This Row],[År]]))),BlankTegn)</f>
        <v>.</v>
      </c>
      <c r="CA69" s="262" t="str">
        <f>IFERROR(IF(Tidstabel[[#This Row],[År]]&gt;Input_Tidshorisont,BlankTegn,
IF(Tidstabel[[#This Row],[År]]=0,0,Tidstabel[[#This Row],[AP_Uds?]]*-AP_Enhedspris*AP_Genoprettelse*((1+Tidstabel[[#This Row],[Kalkulationsrente]])^-Tidstabel[[#This Row],[År]])*((1+PrisudviklingGenerelt)^Tidstabel[[#This Row],[År]]))),BlankTegn)</f>
        <v>.</v>
      </c>
      <c r="CB69" s="245" t="str">
        <f>IFERROR(IF(Tidstabel[[#This Row],[År]]&gt;Input_Tidshorisont,BlankTegn,
IF(Tidstabel[[#This Row],[År]]=0,-SK_Enhedspris,0)),BlankTegn)</f>
        <v>.</v>
      </c>
      <c r="CC69" s="245" t="str">
        <f>IFERROR(IF(Tidstabel[[#This Row],[År]]&gt;Input_Tidshorisont,BlankTegn,
IF(Tidstabel[[#This Row],[År]]=0,SK_Enhedspris/SK_Levetid,CC68*((1+Tidstabel[[#This Row],[Kalkulationsrente]])^-1)*((1+PrisudviklingGenerelt)^1))),BlankTegn)</f>
        <v>.</v>
      </c>
      <c r="CD69" s="178" t="str">
        <f ca="1">IFERROR(IF(Tidstabel[[#This Row],[År]]&gt;Input_Tidshorisont,BlankTegn,
IF(SK_Vedligehold_i=1,IF(Tidstabel[[#This Row],[SK_Uds?]]=0,1,0),IF(MAX(CD68:OFFSET(CE68,2-SK_Vedligehold_i,0),Tidstabel[[#This Row],[SK_Uds?]])=0,1,0))),BlankTegn)</f>
        <v>.</v>
      </c>
      <c r="CE69" s="178" t="str">
        <f>IFERROR(IF(Tidstabel[[#This Row],[År]]&gt;Input_Tidshorisont,BlankTegn,
IF(Tidstabel[[#This Row],[År]]=0,1,IF(MOD(Tidstabel[[#This Row],[År]],SK_Levetid)=0,1,IF(Tidstabel[[#This Row],[År]]=Input_Tidshorisont,0,0)))),BlankTegn)</f>
        <v>.</v>
      </c>
      <c r="CF69" s="245" t="str">
        <f>IFERROR(IF(Tidstabel[[#This Row],[År]]&gt;Input_Tidshorisont,BlankTegn,
SK_Vedligehold_p*-SK_Enhedspris*Tidstabel[[#This Row],[SK_Ved?]]*((1+Tidstabel[[#This Row],[Kalkulationsrente]])^-Tidstabel[[#This Row],[År]])*((1+PrisudviklingGenerelt)^Tidstabel[[#This Row],[År]])),BlankTegn)</f>
        <v>.</v>
      </c>
      <c r="CG69" s="245" t="str">
        <f>IFERROR(IF(Tidstabel[[#This Row],[År]]&gt;Input_Tidshorisont,BlankTegn,
IF(Tidstabel[[#This Row],[År]]=0,SK_Enhedspris,SUM(CG68:CH68)*((1+Tidstabel[[#This Row],[Kalkulationsrente]])^-1)*((1+PrisudviklingGenerelt)^1)-Tidstabel[[#This Row],[SK_Afskrivning]])),BlankTegn)</f>
        <v>.</v>
      </c>
      <c r="CH69" s="245" t="str">
        <f>IFERROR(IF(Tidstabel[[#This Row],[År]]&gt;Input_Tidshorisont,BlankTegn,
IF(Tidstabel[[#This Row],[År]]=0,0,Tidstabel[[#This Row],[SK_Uds?]]*SK_Enhedspris*((1+Tidstabel[[#This Row],[Kalkulationsrente]])^-Tidstabel[[#This Row],[År]])*((1+PrisudviklingGenerelt)^Tidstabel[[#This Row],[År]]))),BlankTegn)</f>
        <v>.</v>
      </c>
      <c r="CI69" s="262" t="str">
        <f>IFERROR(IF(Tidstabel[[#This Row],[År]]&gt;Input_Tidshorisont,BlankTegn,
IF(Tidstabel[[#This Row],[År]]=0,0,Tidstabel[[#This Row],[SK_Uds?]]*-SK_Enhedspris*SK_Genoprettelse*((1+Tidstabel[[#This Row],[Kalkulationsrente]])^-Tidstabel[[#This Row],[År]])*((1+PrisudviklingGenerelt)^Tidstabel[[#This Row],[År]]))),BlankTegn)</f>
        <v>.</v>
      </c>
      <c r="CJ69" s="19"/>
    </row>
    <row r="70" spans="1:88">
      <c r="A70" s="250">
        <v>63</v>
      </c>
      <c r="B70" s="250">
        <f>Input_Etableringsår+Tidstabel[[#This Row],[År]]</f>
        <v>2087</v>
      </c>
      <c r="C70" s="274" cm="1">
        <f t="array" ref="C70">_xlfn.IFS(Tidstabel[[#This Row],[År]]&gt;KR_Trin3_Tærskel,KR_Trin3_Rente,Tidstabel[[#This Row],[År]]&gt;KR_Trin2_Tærskel,KR_Trin2_Rente,Tidstabel[[#This Row],[År]]&gt;KR_Trin1_Tærskel,KR_Trin1_Rente,Tidstabel[[#This Row],[År]]&gt;KR_Trin0_Tærskel,KR_Trin0_Rente)</f>
        <v>2.5000000000000001E-2</v>
      </c>
      <c r="D70" s="142" t="str" cm="1">
        <f t="array" ref="D70">IFERROR(
INDEX(Range_Materiale_ÅrligeEmissioner,MATCH(1,(Materialedata[Komponent]=FB_Titel)*(Materialedata[Materiale]=FB_Materiale),0),MATCH(Tidstabel[[#This Row],[År]],Range_Materiale_År,0)),BlankTegn)</f>
        <v>.</v>
      </c>
      <c r="E70" s="142" t="str" cm="1">
        <f t="array" ref="E70">IFERROR(
INDEX(Range_Materiale_ÅrligeEmissioner,MATCH(1,(Materialedata[Komponent]=SK_Titel)*(Materialedata[Materiale]=SK_Materiale),0),MATCH(Tidstabel[[#This Row],[År]],Range_Materiale_År,0)),BlankTegn)</f>
        <v>.</v>
      </c>
      <c r="F70" s="142" t="str" cm="1">
        <f t="array" ref="F70">IFERROR(
INDEX(Range_Materiale_ÅrligeEmissioner,MATCH(1,(Materialedata[Komponent]=EI_Titel)*(Materialedata[Materiale]=EI_Materiale),0),MATCH(Tidstabel[[#This Row],[År]],Range_Materiale_År,0)),BlankTegn)</f>
        <v>.</v>
      </c>
      <c r="G70" s="142" t="str" cm="1">
        <f t="array" ref="G70">IFERROR(
INDEX(Range_Materiale_ÅrligeEmissioner,MATCH(1,(Materialedata[Komponent]=AP_Titel)*(Materialedata[Materiale]=AP_Materiale),0),MATCH(Tidstabel[[#This Row],[År]],Range_Materiale_År,0)),BlankTegn)</f>
        <v>.</v>
      </c>
      <c r="H70" s="142" t="str" cm="1">
        <f t="array" ref="H70">IFERROR(
INDEX(Range_Materiale_ÅrligeEmissioner,MATCH(1,(Materialedata[Komponent]=VS_Titel)*(Materialedata[Materiale]=VS_Materiale),0),MATCH(Tidstabel[[#This Row],[År]],Range_Materiale_År,0)),BlankTegn)</f>
        <v>.</v>
      </c>
      <c r="I70" s="142" t="str">
        <f>IFERROR(
IF(SUM(Tidstabel[[#This Row],[Facadebeklædning]:[Vindspærre]])=0,BlankTegn,
SUM(Tidstabel[[#This Row],[Facadebeklædning]:[Vindspærre]])),BlankTegn)</f>
        <v>.</v>
      </c>
      <c r="J70" s="139" t="str">
        <f>IF(Tidstabel[[#This Row],[År]]&gt;Input_Tidshorisont,BlankTegn,
A5_ElVarmeBrændstofByggeplads)</f>
        <v>.</v>
      </c>
      <c r="K70" s="142" t="str">
        <f>IFERROR(IF(Tidstabel[[#This Row],[År]]&gt;Input_Tidshorisont,BlankTegn,
-1*INDEX(Range_Energi_ÅrligBesparelse,MATCH(Input_EksisterendeFacade,Energiberegning[Ydervæg],0),MATCH(Tidstabel[[#This Row],[Årstal]],Range_Energi_Årstal,0))),BlankTegn)</f>
        <v>.</v>
      </c>
      <c r="L70" s="142" t="str">
        <f>IF(Tidstabel[[#This Row],[År]]&gt;Input_Tidshorisont,BlankTegn,
(Tidstabel[[#This Row],[År]]+1)*(SUM(Vedligeholdelsesmaterialer[Facadefarve],Vedligeholdelsesmaterialer[Grunder og mellemmaling])/12+SUM(Vedligeholdelsesmaterialer[Puds])/30))</f>
        <v>.</v>
      </c>
      <c r="M70" s="142" t="str">
        <f>IFERROR(IF(Tidstabel[[#This Row],[År]]&gt;Input_Tidshorisont,BlankTegn,
Tidstabel[[#This Row],[Materialer_Total]]+Tidstabel[[#This Row],[Byggeprocess]]),BlankTegn)</f>
        <v>.</v>
      </c>
      <c r="N70" s="142" t="str">
        <f>IFERROR(IF(Tidstabel[[#This Row],[År]]&gt;Input_Tidshorisont,BlankTegn,
Tidstabel[[#This Row],[Energibesparelse]]+Tidstabel[[#This Row],[Emission_Brutto]]),BlankTegn)</f>
        <v>.</v>
      </c>
      <c r="O70" s="142" t="str">
        <f>IFERROR(IF(Tidstabel[[#This Row],[År]]&gt;Input_Tidshorisont,BlankTegn,
Tidstabel[[#This Row],[Emission_Netto]]-Tidstabel[[#This Row],[Vedligehold_EksisterendeFacade]]),BlankTegn)</f>
        <v>.</v>
      </c>
      <c r="P70" s="271" t="str">
        <f>IFERROR(IF(Tidstabel[[#This Row],[År]]&gt;Input_Tidshorisont,BlankTegn,
IF(AND(Tidstabel[[#This Row],[Emission_Netto]]-Tidstabel[[#This Row],[Vedligehold_EksisterendeFacade]]&gt;0,N71-L71&lt;0),-1,IF(AND(Tidstabel[[#This Row],[Emission_Netto]]-Tidstabel[[#This Row],[Vedligehold_EksisterendeFacade]]&lt;0,N71-L71&gt;0),1,0))),BlankTegn)</f>
        <v>.</v>
      </c>
      <c r="Q70" s="174" t="str">
        <f>IF(Tidstabel[[#This Row],[År]]&gt;Input_Tidshorisont,BlankTegn,
IF(Tidstabel[[#This Row],[LCA-Skæring]]=-1,SUM(Tidstabel[[#This Row],[År]]*(1-ABS(Tidstabel[[#This Row],[LCA-Difference]])/(ABS(Tidstabel[[#This Row],[LCA-Difference]])+ABS(O71))),A71*(1-ABS(O71)/(ABS(Tidstabel[[#This Row],[LCA-Difference]])+ABS(O71)))),"-"))</f>
        <v>.</v>
      </c>
      <c r="R70" s="174" t="str">
        <f>IF(Tidstabel[[#This Row],[År]]&gt;Input_Tidshorisont,BlankTegn,
IF(Tidstabel[[#This Row],[LCA-Skæring]]=-1,SUM(Tidstabel[[#This Row],[Emission_Netto]]*(1-ABS(Tidstabel[[#This Row],[LCA-Difference]])/(ABS(Tidstabel[[#This Row],[LCA-Difference]])+ABS(O71))),N71*(1-ABS(O71)/(ABS(Tidstabel[[#This Row],[LCA-Difference]])+ABS(O71)))),"-"))</f>
        <v>.</v>
      </c>
      <c r="S70" s="174" t="str">
        <f>IF(Tidstabel[[#This Row],[År]]&gt;Input_Tidshorisont,BlankTegn,
IF(Tidstabel[[#This Row],[LCA-Skæring]]=1,SUM(Tidstabel[[#This Row],[År]]*(1-ABS(Tidstabel[[#This Row],[LCA-Difference]])/(ABS(Tidstabel[[#This Row],[LCA-Difference]])+ABS(O71))),A71*(1-ABS(O71)/(ABS(Tidstabel[[#This Row],[LCA-Difference]])+ABS(O71)))),"-"))</f>
        <v>.</v>
      </c>
      <c r="T70" s="264" t="str">
        <f>IF(Tidstabel[[#This Row],[År]]&gt;Input_Tidshorisont,BlankTegn,
IF(Tidstabel[[#This Row],[LCA-Skæring]]=1,SUM(Tidstabel[[#This Row],[Emission_Netto]]*(1-ABS(Tidstabel[[#This Row],[LCA-Difference]])/(ABS(Tidstabel[[#This Row],[LCA-Difference]])+ABS(O71))),N71*(1-ABS(O71)/(ABS(Tidstabel[[#This Row],[LCA-Difference]])+ABS(O71)))),"-"))</f>
        <v>.</v>
      </c>
      <c r="U70" s="142" t="str">
        <f>IFERROR(IF(Tidstabel[[#This Row],[År]]&gt;Input_Tidshorisont,BlankTegn,
Tidstabel[[#This Row],[NPV_Klimafacade]]-Tidstabel[[#This Row],[NPV_Eksisterende]]),BlankTegn)</f>
        <v>.</v>
      </c>
      <c r="V70" s="271" t="str">
        <f>IFERROR(IF(Tidstabel[[#This Row],[År]]&gt;Input_Tidshorisont,BlankTegn,
IF(AND(Tidstabel[[#This Row],[NPV_Klimafacade]]-Tidstabel[[#This Row],[NPV_Eksisterende]]&gt;0,AB71-AA71&lt;0),1,IF(AND(Tidstabel[[#This Row],[NPV_Klimafacade]]-Tidstabel[[#This Row],[NPV_Eksisterende]]&lt;0,AB71-AA71&gt;0),-1,0))),BlankTegn)</f>
        <v>.</v>
      </c>
      <c r="W70" s="174" t="str">
        <f>IF(Tidstabel[[#This Row],[År]]&gt;Input_Tidshorisont,BlankTegn,
IF(Tidstabel[[#This Row],[LCC-Skæring]]=-1,SUM(Tidstabel[[#This Row],[År]]*(1-ABS(Tidstabel[[#This Row],[LCC-Difference]])/(ABS(Tidstabel[[#This Row],[LCC-Difference]])+ABS(U71))),A71*(1-ABS(U71)/(ABS(Tidstabel[[#This Row],[LCC-Difference]])+ABS(U71)))),"-"))</f>
        <v>.</v>
      </c>
      <c r="X70" s="174" t="str">
        <f>IF(Tidstabel[[#This Row],[År]]&gt;Input_Tidshorisont,BlankTegn,
IF(Tidstabel[[#This Row],[LCC-Skæring]]=-1,SUM(Tidstabel[[#This Row],[NPV_Klimafacade]]*(1-ABS(Tidstabel[[#This Row],[LCC-Difference]])/(ABS(Tidstabel[[#This Row],[LCC-Difference]])+ABS(U71))),AB71*(1-ABS(U71)/(ABS(Tidstabel[[#This Row],[LCC-Difference]])+ABS(U71)))),"-"))</f>
        <v>.</v>
      </c>
      <c r="Y70" s="174" t="str">
        <f>IF(Tidstabel[[#This Row],[År]]&gt;Input_Tidshorisont,BlankTegn,
IF(Tidstabel[[#This Row],[LCC-Skæring]]=1,SUM(Tidstabel[[#This Row],[År]]*(1-ABS(Tidstabel[[#This Row],[LCC-Difference]])/(ABS(Tidstabel[[#This Row],[LCC-Difference]])+ABS(U71))),A71*(1-ABS(U71)/(ABS(Tidstabel[[#This Row],[LCC-Difference]])+ABS(U71)))),"-"))</f>
        <v>.</v>
      </c>
      <c r="Z70" s="264" t="str">
        <f>IF(Tidstabel[[#This Row],[År]]&gt;Input_Tidshorisont,BlankTegn,
IF(Tidstabel[[#This Row],[LCC-Skæring]]=1,SUM(Tidstabel[[#This Row],[NPV_Klimafacade]]*(1-ABS(Tidstabel[[#This Row],[LCC-Difference]])/(ABS(Tidstabel[[#This Row],[LCC-Difference]])+ABS(U71))),AB71*(1-ABS(U71)/(ABS(Tidstabel[[#This Row],[LCC-Difference]])+ABS(U71)))),"-"))</f>
        <v>.</v>
      </c>
      <c r="AA70" s="142" t="str">
        <f>IF(Tidstabel[[#This Row],[År]]&gt;Input_Tidshorisont,BlankTegn,
Tidstabel[[#This Row],[EF_Vedligehold_Aggregeret]])</f>
        <v>.</v>
      </c>
      <c r="AB70"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0" s="142" t="str">
        <f>IFERROR(IF(Tidstabel[[#This Row],[År]]&gt;Input_Tidshorisont,BlankTegn,
Tidstabel[[#This Row],[KF_Anskaffelse_Aggregeret]]+Tidstabel[[#This Row],[KF_Engangsudgifter_Aggregeret]]),BlankTegn)</f>
        <v>.</v>
      </c>
      <c r="AD70" s="174" t="str">
        <f>IFERROR(IF(Tidstabel[[#This Row],[År]]&gt;Input_Tidshorisont,BlankTegn,
IF(Tidstabel[[#This Row],[År]]=0,0,Tidstabel[[#This Row],[NPV_Eksisterende]]*(Tidstabel[[#This Row],[Kalkulationsrente]]/(1-(1+Tidstabel[[#This Row],[Kalkulationsrente]])^-Tidstabel[[#This Row],[År]])))),BlankTegn)</f>
        <v>.</v>
      </c>
      <c r="AE70" s="264" t="str">
        <f>IFERROR(IF(Tidstabel[[#This Row],[År]]&gt;Input_Tidshorisont,BlankTegn,
IF(Tidstabel[[#This Row],[År]]=0,0,Tidstabel[[#This Row],[NPV_Klimafacade]]*(Tidstabel[[#This Row],[Kalkulationsrente]]/(1-(1+Tidstabel[[#This Row],[Kalkulationsrente]])^-Tidstabel[[#This Row],[År]])))),BlankTegn)</f>
        <v>.</v>
      </c>
      <c r="AF70" s="270" t="str">
        <f ca="1">IF(Tidstabel[[#This Row],[År]]&gt;Input_Tidshorisont,BlankTegn,
IF(EF_Vedligehold_i=1,IF(Tidstabel[[#This Row],[EF_Uds?]]=0,1,0),IF(MAX(AF69:OFFSET(AG69,2-EF_Vedligehold_i,0),Tidstabel[[#This Row],[EF_Uds?]])=0,1,0)))</f>
        <v>.</v>
      </c>
      <c r="AG70" s="181" t="str">
        <f>IF(Tidstabel[[#This Row],[År]]&gt;Input_Tidshorisont,BlankTegn,0)</f>
        <v>.</v>
      </c>
      <c r="AH70" s="263" t="str">
        <f>IF(Tidstabel[[#This Row],[År]]&gt;Input_Tidshorisont,BlankTegn,
Tidstabel[[#This Row],[EF_Ved?]]*EF_Vedligehold_p*-EF_Enhedspris*((1+Tidstabel[[#This Row],[Kalkulationsrente]])^-Tidstabel[[#This Row],[År]])*((1+PrisudviklingGenerelt)^Tidstabel[[#This Row],[År]]))</f>
        <v>.</v>
      </c>
      <c r="AI70" s="262" t="str">
        <f>IF(Tidstabel[[#This Row],[År]]&gt;Input_Tidshorisont,BlankTegn,
IF(Tidstabel[[#This Row],[År]]=0,Tidstabel[[#This Row],[EF_Vedligehold]],AI69+Tidstabel[[#This Row],[EF_Vedligehold]]))</f>
        <v>.</v>
      </c>
      <c r="AJ70" s="245" t="str">
        <f>IFERROR(IF(Tidstabel[[#This Row],[År]]&gt;Input_Tidshorisont,BlankTegn,
Tidstabel[[#This Row],[FB_Anskaffelse]]+Tidstabel[[#This Row],[VS_Anskaffelse]]+Tidstabel[[#This Row],[EI_Anskaffelse]]+Tidstabel[[#This Row],[AP_Anskaffelse]]+Tidstabel[[#This Row],[SK_Anskaffelse]]),BlankTegn)</f>
        <v>.</v>
      </c>
      <c r="AK70" s="245" t="str">
        <f>IFERROR(IF(Tidstabel[[#This Row],[År]]&gt;Input_Tidshorisont,BlankTegn,
IF(Tidstabel[[#This Row],[År]]=0,Tidstabel[[#This Row],[KF_Anskaffelse]],AK69+Tidstabel[[#This Row],[KF_Anskaffelse]])),BlankTegn)</f>
        <v>.</v>
      </c>
      <c r="AL70" s="246" t="str">
        <f>IFERROR(IF(Tidstabel[[#This Row],[År]]&gt;Input_Tidshorisont,BlankTegn,
Tidstabel[[#This Row],[FB_Vedligehold]]+Tidstabel[[#This Row],[VS_Vedligehold]]+Tidstabel[[#This Row],[EI_Vedligehold]]+Tidstabel[[#This Row],[AP_Vedligehold]]+Tidstabel[[#This Row],[SK_Vedligehold]]),BlankTegn)</f>
        <v>.</v>
      </c>
      <c r="AM70" s="245" t="str">
        <f>IFERROR(IF(Tidstabel[[#This Row],[År]]&gt;Input_Tidshorisont,BlankTegn,
IF(Tidstabel[[#This Row],[År]]=0,Tidstabel[[#This Row],[KF_Vedligehold]],AM69+Tidstabel[[#This Row],[KF_Vedligehold]])),BlankTegn)</f>
        <v>.</v>
      </c>
      <c r="AN70"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70"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70" s="245" t="str">
        <f>IFERROR(IF(Tidstabel[[#This Row],[År]]&gt;Input_Tidshorisont,BlankTegn,
IF(Tidstabel[[#This Row],[År]]=0,Tidstabel[[#This Row],[KF_Udskiftning_Komponent]],AP69+Tidstabel[[#This Row],[KF_Udskiftning_Komponent]])),BlankTegn)</f>
        <v>.</v>
      </c>
      <c r="AQ70" s="245" t="str">
        <f>IF(Tidstabel[[#This Row],[År]]&gt;Input_Tidshorisont,BlankTegn,
IF(Tidstabel[[#This Row],[År]]=0,-SUM(Engangsudgifter[Udgift]),0))</f>
        <v>.</v>
      </c>
      <c r="AR70" s="245" t="str">
        <f>IFERROR(IF(Tidstabel[[#This Row],[År]]&gt;Input_Tidshorisont,BlankTegn,
IF(Tidstabel[[#This Row],[År]]=0,Tidstabel[[#This Row],[KF_Engangsudgifter]],AR69+Tidstabel[[#This Row],[KF_Engangsudgifter]])),BlankTegn)</f>
        <v>.</v>
      </c>
      <c r="AS70" s="315" t="str">
        <f>IFERROR(IF(Tidstabel[[#This Row],[År]]&gt;Input_Tidshorisont,BlankTegn,
-Energibesparelse_Årlig),BlankTegn)</f>
        <v>.</v>
      </c>
      <c r="AT70" s="245" t="str">
        <f>IFERROR(IF(Tidstabel[[#This Row],[År]]&gt;Input_Tidshorisont,BlankTegn,
IF(Tidstabel[[#This Row],[År]]=0,0,-Tidstabel[[#This Row],[KF_Energiforbrug]]*Input_Fjernvarmepris*((1+Tidstabel[[#This Row],[Kalkulationsrente]])^-Tidstabel[[#This Row],[År]])*((1+PrisudviklingFjernvarme)^Tidstabel[[#This Row],[År]]))),BlankTegn)</f>
        <v>.</v>
      </c>
      <c r="AU70" s="262" t="str">
        <f>IFERROR(IF(Tidstabel[[#This Row],[År]]&gt;Input_Tidshorisont,BlankTegn,
IF(Tidstabel[[#This Row],[År]]=0,Tidstabel[[#This Row],[KF_Forsyning]],AU69+Tidstabel[[#This Row],[KF_Forsyning]])),BlankTegn)</f>
        <v>.</v>
      </c>
      <c r="AV70" s="245" t="str">
        <f>IFERROR(IF(Tidstabel[[#This Row],[År]]&gt;Input_Tidshorisont,BlankTegn,
IF(Tidstabel[[#This Row],[År]]=0,-FB_Enhedspris,0)),BlankTegn)</f>
        <v>.</v>
      </c>
      <c r="AW70" s="245" t="str">
        <f>IFERROR(IF(Tidstabel[[#This Row],[År]]&gt;Input_Tidshorisont,BlankTegn,
IF(Tidstabel[[#This Row],[År]]=0,FB_Enhedspris/FB_Levetid,AW69*((1+Tidstabel[[#This Row],[Kalkulationsrente]])^-1)*((1+PrisudviklingGenerelt)^1))),BlankTegn)</f>
        <v>.</v>
      </c>
      <c r="AX70" s="178" t="str">
        <f ca="1">IFERROR(IF(Tidstabel[[#This Row],[År]]&gt;Input_Tidshorisont,BlankTegn,
IF(FB_Vedligehold_i=1,IF(Tidstabel[[#This Row],[FB_Uds?]]=0,1,0),IF(MAX(AX69:OFFSET(AY69,2-FB_Vedligehold_i,0),Tidstabel[[#This Row],[FB_Uds?]])=0,1,0))),BlankTegn)</f>
        <v>.</v>
      </c>
      <c r="AY70" s="178" t="str">
        <f>IFERROR(IF(Tidstabel[[#This Row],[År]]&gt;Input_Tidshorisont,BlankTegn,
IF(Tidstabel[[#This Row],[År]]=0,1,IF(MOD(Tidstabel[[#This Row],[År]],FB_Levetid)=0,1,IF(Tidstabel[[#This Row],[År]]=Input_Tidshorisont,0,0)))),BlankTegn)</f>
        <v>.</v>
      </c>
      <c r="AZ70" s="245" t="str">
        <f>IFERROR(IF(Tidstabel[[#This Row],[År]]&gt;Input_Tidshorisont,BlankTegn,
FB_Vedligehold_p*-FB_Enhedspris*Tidstabel[[#This Row],[FB_Ved?]]*((1+Tidstabel[[#This Row],[Kalkulationsrente]])^-Tidstabel[[#This Row],[År]])*((1+PrisudviklingGenerelt)^Tidstabel[[#This Row],[År]])),BlankTegn)</f>
        <v>.</v>
      </c>
      <c r="BA70" s="245" t="str">
        <f>IFERROR(IF(Tidstabel[[#This Row],[År]]&gt;Input_Tidshorisont,BlankTegn,
IF(Tidstabel[[#This Row],[År]]=0,FB_Enhedspris,SUM(BA69:BB69)*((1+Tidstabel[[#This Row],[Kalkulationsrente]])^-1)*((1+PrisudviklingGenerelt)^1)-Tidstabel[[#This Row],[FB_Afskrivning]])),BlankTegn)</f>
        <v>.</v>
      </c>
      <c r="BB70" s="245" t="str">
        <f>IFERROR(IF(Tidstabel[[#This Row],[År]]&gt;Input_Tidshorisont,BlankTegn,
IF(Tidstabel[[#This Row],[År]]=0,0,Tidstabel[[#This Row],[FB_Uds?]]*FB_Enhedspris*((1+Tidstabel[[#This Row],[Kalkulationsrente]])^-Tidstabel[[#This Row],[År]])*((1+PrisudviklingGenerelt)^Tidstabel[[#This Row],[År]]))),BlankTegn)</f>
        <v>.</v>
      </c>
      <c r="BC70" s="262" t="str">
        <f>IFERROR(IF(Tidstabel[[#This Row],[År]]&gt;Input_Tidshorisont,BlankTegn,
IF(Tidstabel[[#This Row],[År]]=0,0,Tidstabel[[#This Row],[FB_Uds?]]*-FB_Enhedspris*FB_Genoprettelse*((1+Tidstabel[[#This Row],[Kalkulationsrente]])^-Tidstabel[[#This Row],[År]])*((1+PrisudviklingGenerelt)^Tidstabel[[#This Row],[År]]))),BlankTegn)</f>
        <v>.</v>
      </c>
      <c r="BD70" s="245" t="str">
        <f>IFERROR(IF(Tidstabel[[#This Row],[År]]&gt;Input_Tidshorisont,BlankTegn,
IF(Tidstabel[[#This Row],[År]]=0,-VS_Enhedspris,0)),BlankTegn)</f>
        <v>.</v>
      </c>
      <c r="BE70" s="245" t="str">
        <f>IFERROR(IF(Tidstabel[[#This Row],[År]]&gt;Input_Tidshorisont,BlankTegn,
IF(Tidstabel[[#This Row],[År]]=0,VS_Enhedspris/VS_Levetid,BE69*((1+Tidstabel[[#This Row],[Kalkulationsrente]])^-1)*((1+PrisudviklingGenerelt)^1))),BlankTegn)</f>
        <v>.</v>
      </c>
      <c r="BF70" s="178" t="str">
        <f ca="1">IFERROR(IF(Tidstabel[[#This Row],[År]]&gt;Input_Tidshorisont,BlankTegn,
IF(VS_Vedligehold_i=1,IF(Tidstabel[[#This Row],[VS_Uds?]]=0,1,0),IF(MAX(BF69:OFFSET(BG69,2-VS_Vedligehold_i,0),Tidstabel[[#This Row],[VS_Uds?]])=0,1,0))),BlankTegn)</f>
        <v>.</v>
      </c>
      <c r="BG70" s="178" t="str">
        <f>IFERROR(IF(Tidstabel[[#This Row],[År]]&gt;Input_Tidshorisont,BlankTegn,
IF(Tidstabel[[#This Row],[År]]=0,1,IF(MOD(Tidstabel[[#This Row],[År]],VS_Levetid)=0,1,IF(Tidstabel[[#This Row],[År]]=Input_Tidshorisont,0,0)))),BlankTegn)</f>
        <v>.</v>
      </c>
      <c r="BH70" s="245" t="str">
        <f>IFERROR(IF(Tidstabel[[#This Row],[År]]&gt;Input_Tidshorisont,BlankTegn,
VS_Vedligehold_p*-VS_Enhedspris*Tidstabel[[#This Row],[VS_Ved?]]*((1+Tidstabel[[#This Row],[Kalkulationsrente]])^-Tidstabel[[#This Row],[År]])*((1+PrisudviklingGenerelt)^Tidstabel[[#This Row],[År]])),BlankTegn)</f>
        <v>.</v>
      </c>
      <c r="BI70" s="245" t="str">
        <f>IFERROR(IF(Tidstabel[[#This Row],[År]]&gt;Input_Tidshorisont,BlankTegn,
IF(Tidstabel[[#This Row],[År]]=0,VS_Enhedspris,SUM(BI69:BJ69)*((1+Tidstabel[[#This Row],[Kalkulationsrente]])^-1)*((1+PrisudviklingGenerelt)^1)-Tidstabel[[#This Row],[VS_Afskrivning]])),BlankTegn)</f>
        <v>.</v>
      </c>
      <c r="BJ70" s="245" t="str">
        <f>IFERROR(IF(Tidstabel[[#This Row],[År]]&gt;Input_Tidshorisont,BlankTegn,
IF(Tidstabel[[#This Row],[År]]=0,0,Tidstabel[[#This Row],[VS_Uds?]]*VS_Enhedspris*((1+Tidstabel[[#This Row],[Kalkulationsrente]])^-Tidstabel[[#This Row],[År]])*((1+PrisudviklingGenerelt)^Tidstabel[[#This Row],[År]]))),BlankTegn)</f>
        <v>.</v>
      </c>
      <c r="BK70" s="262" t="str">
        <f>IFERROR(IF(Tidstabel[[#This Row],[År]]&gt;Input_Tidshorisont,BlankTegn,
IF(Tidstabel[[#This Row],[År]]=0,0,Tidstabel[[#This Row],[VS_Uds?]]*-VS_Enhedspris*VS_Genoprettelse*((1+Tidstabel[[#This Row],[Kalkulationsrente]])^-Tidstabel[[#This Row],[År]])*((1+PrisudviklingGenerelt)^Tidstabel[[#This Row],[År]]))),BlankTegn)</f>
        <v>.</v>
      </c>
      <c r="BL70" s="245" t="str">
        <f>IFERROR(IF(Tidstabel[[#This Row],[År]]&gt;Input_Tidshorisont,BlankTegn,
IF(Tidstabel[[#This Row],[År]]=0,-EI_Enhedspris,0)),BlankTegn)</f>
        <v>.</v>
      </c>
      <c r="BM70" s="245" t="str">
        <f>IFERROR(IF(Tidstabel[[#This Row],[År]]&gt;Input_Tidshorisont,BlankTegn,
IF(Tidstabel[[#This Row],[År]]=0,EI_Enhedspris/EI_Levetid,BM69*((1+Tidstabel[[#This Row],[Kalkulationsrente]])^-1)*((1+PrisudviklingGenerelt)^1))),BlankTegn)</f>
        <v>.</v>
      </c>
      <c r="BN70" s="178" t="str">
        <f ca="1">IFERROR(IF(Tidstabel[[#This Row],[År]]&gt;Input_Tidshorisont,BlankTegn,
IF(EI_Vedligehold_i=1,IF(Tidstabel[[#This Row],[EI_Uds?]]=0,1,0),IF(MAX(BN69:OFFSET(BO69,2-EI_Vedligehold_i,0),Tidstabel[[#This Row],[EI_Uds?]])=0,1,0))),BlankTegn)</f>
        <v>.</v>
      </c>
      <c r="BO70" s="178" t="str">
        <f>IFERROR(IF(Tidstabel[[#This Row],[År]]&gt;Input_Tidshorisont,BlankTegn,
IF(Tidstabel[[#This Row],[År]]=0,1,IF(MOD(Tidstabel[[#This Row],[År]],EI_Levetid)=0,1,IF(Tidstabel[[#This Row],[År]]=Input_Tidshorisont,0,0)))),BlankTegn)</f>
        <v>.</v>
      </c>
      <c r="BP70" s="245" t="str">
        <f>IFERROR(IF(Tidstabel[[#This Row],[År]]&gt;Input_Tidshorisont,BlankTegn,
EI_Vedligehold_p*-EI_Enhedspris*Tidstabel[[#This Row],[EI_Ved?]]*((1+Tidstabel[[#This Row],[Kalkulationsrente]])^-Tidstabel[[#This Row],[År]])*((1+PrisudviklingGenerelt)^Tidstabel[[#This Row],[År]])),BlankTegn)</f>
        <v>.</v>
      </c>
      <c r="BQ70" s="245" t="str">
        <f>IFERROR(IF(Tidstabel[[#This Row],[År]]&gt;Input_Tidshorisont,BlankTegn,
IF(Tidstabel[[#This Row],[År]]=0,EI_Enhedspris,SUM(BQ69:BR69)*((1+Tidstabel[[#This Row],[Kalkulationsrente]])^-1)*((1+PrisudviklingGenerelt)^1)-Tidstabel[[#This Row],[EI_Afskrivning]])),BlankTegn)</f>
        <v>.</v>
      </c>
      <c r="BR70" s="245" t="str">
        <f>IFERROR(IF(Tidstabel[[#This Row],[År]]&gt;Input_Tidshorisont,BlankTegn,
IF(Tidstabel[[#This Row],[År]]=0,0,Tidstabel[[#This Row],[EI_Uds?]]*EI_Enhedspris*((1+Tidstabel[[#This Row],[Kalkulationsrente]])^-Tidstabel[[#This Row],[År]])*((1+PrisudviklingGenerelt)^Tidstabel[[#This Row],[År]]))),BlankTegn)</f>
        <v>.</v>
      </c>
      <c r="BS70" s="262" t="str">
        <f>IFERROR(IF(Tidstabel[[#This Row],[År]]&gt;Input_Tidshorisont,BlankTegn,
IF(Tidstabel[[#This Row],[År]]=0,0,Tidstabel[[#This Row],[EI_Uds?]]*-EI_Enhedspris*EI_Genoprettelse*((1+Tidstabel[[#This Row],[Kalkulationsrente]])^-Tidstabel[[#This Row],[År]])*((1+PrisudviklingGenerelt)^Tidstabel[[#This Row],[År]]))),BlankTegn)</f>
        <v>.</v>
      </c>
      <c r="BT70" s="245" t="str">
        <f>IFERROR(IF(Tidstabel[[#This Row],[År]]&gt;Input_Tidshorisont,BlankTegn,
IF(Tidstabel[[#This Row],[År]]=0,-AP_Enhedspris,0)),BlankTegn)</f>
        <v>.</v>
      </c>
      <c r="BU70" s="245" t="str">
        <f>IFERROR(IF(Tidstabel[[#This Row],[År]]&gt;Input_Tidshorisont,BlankTegn,
IF(Tidstabel[[#This Row],[År]]=0,AP_Enhedspris/AP_Levetid,BU69*((1+Tidstabel[[#This Row],[Kalkulationsrente]])^-1)*((1+PrisudviklingGenerelt)^1))),BlankTegn)</f>
        <v>.</v>
      </c>
      <c r="BV70" s="178" t="str">
        <f ca="1">IFERROR(IF(Tidstabel[[#This Row],[År]]&gt;Input_Tidshorisont,BlankTegn,
IF(AP_Vedligehold_i=1,IF(Tidstabel[[#This Row],[AP_Uds?]]=0,1,0),IF(MAX(BV69:OFFSET(BW69,2-AP_Vedligehold_i,0),Tidstabel[[#This Row],[AP_Uds?]])=0,1,0))),BlankTegn)</f>
        <v>.</v>
      </c>
      <c r="BW70" s="178" t="str">
        <f>IFERROR(IF(Tidstabel[[#This Row],[År]]&gt;Input_Tidshorisont,BlankTegn,
IF(Tidstabel[[#This Row],[År]]=0,1,IF(MOD(Tidstabel[[#This Row],[År]],AP_Levetid)=0,1,IF(Tidstabel[[#This Row],[År]]=Input_Tidshorisont,0,0)))),BlankTegn)</f>
        <v>.</v>
      </c>
      <c r="BX70" s="245" t="str">
        <f>IFERROR(IF(Tidstabel[[#This Row],[År]]&gt;Input_Tidshorisont,BlankTegn,
AP_Vedligehold_p*-AP_Enhedspris*Tidstabel[[#This Row],[AP_Ved?]]*((1+Tidstabel[[#This Row],[Kalkulationsrente]])^-Tidstabel[[#This Row],[År]])*((1+PrisudviklingGenerelt)^Tidstabel[[#This Row],[År]])),BlankTegn)</f>
        <v>.</v>
      </c>
      <c r="BY70" s="245" t="str">
        <f>IFERROR(IF(Tidstabel[[#This Row],[År]]&gt;Input_Tidshorisont,BlankTegn,
IF(Tidstabel[[#This Row],[År]]=0,AP_Enhedspris,SUM(BY69:BZ69)*((1+Tidstabel[[#This Row],[Kalkulationsrente]])^-1)*((1+PrisudviklingGenerelt)^1)-Tidstabel[[#This Row],[AP_Afskrivning]])),BlankTegn)</f>
        <v>.</v>
      </c>
      <c r="BZ70" s="245" t="str">
        <f>IFERROR(IF(Tidstabel[[#This Row],[År]]&gt;Input_Tidshorisont,BlankTegn,
IF(Tidstabel[[#This Row],[År]]=0,0,Tidstabel[[#This Row],[AP_Uds?]]*AP_Enhedspris*((1+Tidstabel[[#This Row],[Kalkulationsrente]])^-Tidstabel[[#This Row],[År]])*((1+PrisudviklingGenerelt)^Tidstabel[[#This Row],[År]]))),BlankTegn)</f>
        <v>.</v>
      </c>
      <c r="CA70" s="262" t="str">
        <f>IFERROR(IF(Tidstabel[[#This Row],[År]]&gt;Input_Tidshorisont,BlankTegn,
IF(Tidstabel[[#This Row],[År]]=0,0,Tidstabel[[#This Row],[AP_Uds?]]*-AP_Enhedspris*AP_Genoprettelse*((1+Tidstabel[[#This Row],[Kalkulationsrente]])^-Tidstabel[[#This Row],[År]])*((1+PrisudviklingGenerelt)^Tidstabel[[#This Row],[År]]))),BlankTegn)</f>
        <v>.</v>
      </c>
      <c r="CB70" s="245" t="str">
        <f>IFERROR(IF(Tidstabel[[#This Row],[År]]&gt;Input_Tidshorisont,BlankTegn,
IF(Tidstabel[[#This Row],[År]]=0,-SK_Enhedspris,0)),BlankTegn)</f>
        <v>.</v>
      </c>
      <c r="CC70" s="245" t="str">
        <f>IFERROR(IF(Tidstabel[[#This Row],[År]]&gt;Input_Tidshorisont,BlankTegn,
IF(Tidstabel[[#This Row],[År]]=0,SK_Enhedspris/SK_Levetid,CC69*((1+Tidstabel[[#This Row],[Kalkulationsrente]])^-1)*((1+PrisudviklingGenerelt)^1))),BlankTegn)</f>
        <v>.</v>
      </c>
      <c r="CD70" s="178" t="str">
        <f ca="1">IFERROR(IF(Tidstabel[[#This Row],[År]]&gt;Input_Tidshorisont,BlankTegn,
IF(SK_Vedligehold_i=1,IF(Tidstabel[[#This Row],[SK_Uds?]]=0,1,0),IF(MAX(CD69:OFFSET(CE69,2-SK_Vedligehold_i,0),Tidstabel[[#This Row],[SK_Uds?]])=0,1,0))),BlankTegn)</f>
        <v>.</v>
      </c>
      <c r="CE70" s="178" t="str">
        <f>IFERROR(IF(Tidstabel[[#This Row],[År]]&gt;Input_Tidshorisont,BlankTegn,
IF(Tidstabel[[#This Row],[År]]=0,1,IF(MOD(Tidstabel[[#This Row],[År]],SK_Levetid)=0,1,IF(Tidstabel[[#This Row],[År]]=Input_Tidshorisont,0,0)))),BlankTegn)</f>
        <v>.</v>
      </c>
      <c r="CF70" s="245" t="str">
        <f>IFERROR(IF(Tidstabel[[#This Row],[År]]&gt;Input_Tidshorisont,BlankTegn,
SK_Vedligehold_p*-SK_Enhedspris*Tidstabel[[#This Row],[SK_Ved?]]*((1+Tidstabel[[#This Row],[Kalkulationsrente]])^-Tidstabel[[#This Row],[År]])*((1+PrisudviklingGenerelt)^Tidstabel[[#This Row],[År]])),BlankTegn)</f>
        <v>.</v>
      </c>
      <c r="CG70" s="245" t="str">
        <f>IFERROR(IF(Tidstabel[[#This Row],[År]]&gt;Input_Tidshorisont,BlankTegn,
IF(Tidstabel[[#This Row],[År]]=0,SK_Enhedspris,SUM(CG69:CH69)*((1+Tidstabel[[#This Row],[Kalkulationsrente]])^-1)*((1+PrisudviklingGenerelt)^1)-Tidstabel[[#This Row],[SK_Afskrivning]])),BlankTegn)</f>
        <v>.</v>
      </c>
      <c r="CH70" s="245" t="str">
        <f>IFERROR(IF(Tidstabel[[#This Row],[År]]&gt;Input_Tidshorisont,BlankTegn,
IF(Tidstabel[[#This Row],[År]]=0,0,Tidstabel[[#This Row],[SK_Uds?]]*SK_Enhedspris*((1+Tidstabel[[#This Row],[Kalkulationsrente]])^-Tidstabel[[#This Row],[År]])*((1+PrisudviklingGenerelt)^Tidstabel[[#This Row],[År]]))),BlankTegn)</f>
        <v>.</v>
      </c>
      <c r="CI70" s="262" t="str">
        <f>IFERROR(IF(Tidstabel[[#This Row],[År]]&gt;Input_Tidshorisont,BlankTegn,
IF(Tidstabel[[#This Row],[År]]=0,0,Tidstabel[[#This Row],[SK_Uds?]]*-SK_Enhedspris*SK_Genoprettelse*((1+Tidstabel[[#This Row],[Kalkulationsrente]])^-Tidstabel[[#This Row],[År]])*((1+PrisudviklingGenerelt)^Tidstabel[[#This Row],[År]]))),BlankTegn)</f>
        <v>.</v>
      </c>
      <c r="CJ70" s="19"/>
    </row>
    <row r="71" spans="1:88">
      <c r="A71" s="250">
        <v>64</v>
      </c>
      <c r="B71" s="250">
        <f>Input_Etableringsår+Tidstabel[[#This Row],[År]]</f>
        <v>2088</v>
      </c>
      <c r="C71" s="274" cm="1">
        <f t="array" ref="C71">_xlfn.IFS(Tidstabel[[#This Row],[År]]&gt;KR_Trin3_Tærskel,KR_Trin3_Rente,Tidstabel[[#This Row],[År]]&gt;KR_Trin2_Tærskel,KR_Trin2_Rente,Tidstabel[[#This Row],[År]]&gt;KR_Trin1_Tærskel,KR_Trin1_Rente,Tidstabel[[#This Row],[År]]&gt;KR_Trin0_Tærskel,KR_Trin0_Rente)</f>
        <v>2.5000000000000001E-2</v>
      </c>
      <c r="D71" s="142" t="str" cm="1">
        <f t="array" ref="D71">IFERROR(
INDEX(Range_Materiale_ÅrligeEmissioner,MATCH(1,(Materialedata[Komponent]=FB_Titel)*(Materialedata[Materiale]=FB_Materiale),0),MATCH(Tidstabel[[#This Row],[År]],Range_Materiale_År,0)),BlankTegn)</f>
        <v>.</v>
      </c>
      <c r="E71" s="142" t="str" cm="1">
        <f t="array" ref="E71">IFERROR(
INDEX(Range_Materiale_ÅrligeEmissioner,MATCH(1,(Materialedata[Komponent]=SK_Titel)*(Materialedata[Materiale]=SK_Materiale),0),MATCH(Tidstabel[[#This Row],[År]],Range_Materiale_År,0)),BlankTegn)</f>
        <v>.</v>
      </c>
      <c r="F71" s="142" t="str" cm="1">
        <f t="array" ref="F71">IFERROR(
INDEX(Range_Materiale_ÅrligeEmissioner,MATCH(1,(Materialedata[Komponent]=EI_Titel)*(Materialedata[Materiale]=EI_Materiale),0),MATCH(Tidstabel[[#This Row],[År]],Range_Materiale_År,0)),BlankTegn)</f>
        <v>.</v>
      </c>
      <c r="G71" s="142" t="str" cm="1">
        <f t="array" ref="G71">IFERROR(
INDEX(Range_Materiale_ÅrligeEmissioner,MATCH(1,(Materialedata[Komponent]=AP_Titel)*(Materialedata[Materiale]=AP_Materiale),0),MATCH(Tidstabel[[#This Row],[År]],Range_Materiale_År,0)),BlankTegn)</f>
        <v>.</v>
      </c>
      <c r="H71" s="142" t="str" cm="1">
        <f t="array" ref="H71">IFERROR(
INDEX(Range_Materiale_ÅrligeEmissioner,MATCH(1,(Materialedata[Komponent]=VS_Titel)*(Materialedata[Materiale]=VS_Materiale),0),MATCH(Tidstabel[[#This Row],[År]],Range_Materiale_År,0)),BlankTegn)</f>
        <v>.</v>
      </c>
      <c r="I71" s="142" t="str">
        <f>IFERROR(
IF(SUM(Tidstabel[[#This Row],[Facadebeklædning]:[Vindspærre]])=0,BlankTegn,
SUM(Tidstabel[[#This Row],[Facadebeklædning]:[Vindspærre]])),BlankTegn)</f>
        <v>.</v>
      </c>
      <c r="J71" s="139" t="str">
        <f>IF(Tidstabel[[#This Row],[År]]&gt;Input_Tidshorisont,BlankTegn,
A5_ElVarmeBrændstofByggeplads)</f>
        <v>.</v>
      </c>
      <c r="K71" s="142" t="str">
        <f>IFERROR(IF(Tidstabel[[#This Row],[År]]&gt;Input_Tidshorisont,BlankTegn,
-1*INDEX(Range_Energi_ÅrligBesparelse,MATCH(Input_EksisterendeFacade,Energiberegning[Ydervæg],0),MATCH(Tidstabel[[#This Row],[Årstal]],Range_Energi_Årstal,0))),BlankTegn)</f>
        <v>.</v>
      </c>
      <c r="L71" s="142" t="str">
        <f>IF(Tidstabel[[#This Row],[År]]&gt;Input_Tidshorisont,BlankTegn,
(Tidstabel[[#This Row],[År]]+1)*(SUM(Vedligeholdelsesmaterialer[Facadefarve],Vedligeholdelsesmaterialer[Grunder og mellemmaling])/12+SUM(Vedligeholdelsesmaterialer[Puds])/30))</f>
        <v>.</v>
      </c>
      <c r="M71" s="142" t="str">
        <f>IFERROR(IF(Tidstabel[[#This Row],[År]]&gt;Input_Tidshorisont,BlankTegn,
Tidstabel[[#This Row],[Materialer_Total]]+Tidstabel[[#This Row],[Byggeprocess]]),BlankTegn)</f>
        <v>.</v>
      </c>
      <c r="N71" s="142" t="str">
        <f>IFERROR(IF(Tidstabel[[#This Row],[År]]&gt;Input_Tidshorisont,BlankTegn,
Tidstabel[[#This Row],[Energibesparelse]]+Tidstabel[[#This Row],[Emission_Brutto]]),BlankTegn)</f>
        <v>.</v>
      </c>
      <c r="O71" s="142" t="str">
        <f>IFERROR(IF(Tidstabel[[#This Row],[År]]&gt;Input_Tidshorisont,BlankTegn,
Tidstabel[[#This Row],[Emission_Netto]]-Tidstabel[[#This Row],[Vedligehold_EksisterendeFacade]]),BlankTegn)</f>
        <v>.</v>
      </c>
      <c r="P71" s="271" t="str">
        <f>IFERROR(IF(Tidstabel[[#This Row],[År]]&gt;Input_Tidshorisont,BlankTegn,
IF(AND(Tidstabel[[#This Row],[Emission_Netto]]-Tidstabel[[#This Row],[Vedligehold_EksisterendeFacade]]&gt;0,N72-L72&lt;0),-1,IF(AND(Tidstabel[[#This Row],[Emission_Netto]]-Tidstabel[[#This Row],[Vedligehold_EksisterendeFacade]]&lt;0,N72-L72&gt;0),1,0))),BlankTegn)</f>
        <v>.</v>
      </c>
      <c r="Q71" s="174" t="str">
        <f>IF(Tidstabel[[#This Row],[År]]&gt;Input_Tidshorisont,BlankTegn,
IF(Tidstabel[[#This Row],[LCA-Skæring]]=-1,SUM(Tidstabel[[#This Row],[År]]*(1-ABS(Tidstabel[[#This Row],[LCA-Difference]])/(ABS(Tidstabel[[#This Row],[LCA-Difference]])+ABS(O72))),A72*(1-ABS(O72)/(ABS(Tidstabel[[#This Row],[LCA-Difference]])+ABS(O72)))),"-"))</f>
        <v>.</v>
      </c>
      <c r="R71" s="174" t="str">
        <f>IF(Tidstabel[[#This Row],[År]]&gt;Input_Tidshorisont,BlankTegn,
IF(Tidstabel[[#This Row],[LCA-Skæring]]=-1,SUM(Tidstabel[[#This Row],[Emission_Netto]]*(1-ABS(Tidstabel[[#This Row],[LCA-Difference]])/(ABS(Tidstabel[[#This Row],[LCA-Difference]])+ABS(O72))),N72*(1-ABS(O72)/(ABS(Tidstabel[[#This Row],[LCA-Difference]])+ABS(O72)))),"-"))</f>
        <v>.</v>
      </c>
      <c r="S71" s="174" t="str">
        <f>IF(Tidstabel[[#This Row],[År]]&gt;Input_Tidshorisont,BlankTegn,
IF(Tidstabel[[#This Row],[LCA-Skæring]]=1,SUM(Tidstabel[[#This Row],[År]]*(1-ABS(Tidstabel[[#This Row],[LCA-Difference]])/(ABS(Tidstabel[[#This Row],[LCA-Difference]])+ABS(O72))),A72*(1-ABS(O72)/(ABS(Tidstabel[[#This Row],[LCA-Difference]])+ABS(O72)))),"-"))</f>
        <v>.</v>
      </c>
      <c r="T71" s="264" t="str">
        <f>IF(Tidstabel[[#This Row],[År]]&gt;Input_Tidshorisont,BlankTegn,
IF(Tidstabel[[#This Row],[LCA-Skæring]]=1,SUM(Tidstabel[[#This Row],[Emission_Netto]]*(1-ABS(Tidstabel[[#This Row],[LCA-Difference]])/(ABS(Tidstabel[[#This Row],[LCA-Difference]])+ABS(O72))),N72*(1-ABS(O72)/(ABS(Tidstabel[[#This Row],[LCA-Difference]])+ABS(O72)))),"-"))</f>
        <v>.</v>
      </c>
      <c r="U71" s="142" t="str">
        <f>IFERROR(IF(Tidstabel[[#This Row],[År]]&gt;Input_Tidshorisont,BlankTegn,
Tidstabel[[#This Row],[NPV_Klimafacade]]-Tidstabel[[#This Row],[NPV_Eksisterende]]),BlankTegn)</f>
        <v>.</v>
      </c>
      <c r="V71" s="271" t="str">
        <f>IFERROR(IF(Tidstabel[[#This Row],[År]]&gt;Input_Tidshorisont,BlankTegn,
IF(AND(Tidstabel[[#This Row],[NPV_Klimafacade]]-Tidstabel[[#This Row],[NPV_Eksisterende]]&gt;0,AB72-AA72&lt;0),1,IF(AND(Tidstabel[[#This Row],[NPV_Klimafacade]]-Tidstabel[[#This Row],[NPV_Eksisterende]]&lt;0,AB72-AA72&gt;0),-1,0))),BlankTegn)</f>
        <v>.</v>
      </c>
      <c r="W71" s="174" t="str">
        <f>IF(Tidstabel[[#This Row],[År]]&gt;Input_Tidshorisont,BlankTegn,
IF(Tidstabel[[#This Row],[LCC-Skæring]]=-1,SUM(Tidstabel[[#This Row],[År]]*(1-ABS(Tidstabel[[#This Row],[LCC-Difference]])/(ABS(Tidstabel[[#This Row],[LCC-Difference]])+ABS(U72))),A72*(1-ABS(U72)/(ABS(Tidstabel[[#This Row],[LCC-Difference]])+ABS(U72)))),"-"))</f>
        <v>.</v>
      </c>
      <c r="X71" s="174" t="str">
        <f>IF(Tidstabel[[#This Row],[År]]&gt;Input_Tidshorisont,BlankTegn,
IF(Tidstabel[[#This Row],[LCC-Skæring]]=-1,SUM(Tidstabel[[#This Row],[NPV_Klimafacade]]*(1-ABS(Tidstabel[[#This Row],[LCC-Difference]])/(ABS(Tidstabel[[#This Row],[LCC-Difference]])+ABS(U72))),AB72*(1-ABS(U72)/(ABS(Tidstabel[[#This Row],[LCC-Difference]])+ABS(U72)))),"-"))</f>
        <v>.</v>
      </c>
      <c r="Y71" s="174" t="str">
        <f>IF(Tidstabel[[#This Row],[År]]&gt;Input_Tidshorisont,BlankTegn,
IF(Tidstabel[[#This Row],[LCC-Skæring]]=1,SUM(Tidstabel[[#This Row],[År]]*(1-ABS(Tidstabel[[#This Row],[LCC-Difference]])/(ABS(Tidstabel[[#This Row],[LCC-Difference]])+ABS(U72))),A72*(1-ABS(U72)/(ABS(Tidstabel[[#This Row],[LCC-Difference]])+ABS(U72)))),"-"))</f>
        <v>.</v>
      </c>
      <c r="Z71" s="264" t="str">
        <f>IF(Tidstabel[[#This Row],[År]]&gt;Input_Tidshorisont,BlankTegn,
IF(Tidstabel[[#This Row],[LCC-Skæring]]=1,SUM(Tidstabel[[#This Row],[NPV_Klimafacade]]*(1-ABS(Tidstabel[[#This Row],[LCC-Difference]])/(ABS(Tidstabel[[#This Row],[LCC-Difference]])+ABS(U72))),AB72*(1-ABS(U72)/(ABS(Tidstabel[[#This Row],[LCC-Difference]])+ABS(U72)))),"-"))</f>
        <v>.</v>
      </c>
      <c r="AA71" s="142" t="str">
        <f>IF(Tidstabel[[#This Row],[År]]&gt;Input_Tidshorisont,BlankTegn,
Tidstabel[[#This Row],[EF_Vedligehold_Aggregeret]])</f>
        <v>.</v>
      </c>
      <c r="AB71"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1" s="142" t="str">
        <f>IFERROR(IF(Tidstabel[[#This Row],[År]]&gt;Input_Tidshorisont,BlankTegn,
Tidstabel[[#This Row],[KF_Anskaffelse_Aggregeret]]+Tidstabel[[#This Row],[KF_Engangsudgifter_Aggregeret]]),BlankTegn)</f>
        <v>.</v>
      </c>
      <c r="AD71" s="174" t="str">
        <f>IFERROR(IF(Tidstabel[[#This Row],[År]]&gt;Input_Tidshorisont,BlankTegn,
IF(Tidstabel[[#This Row],[År]]=0,0,Tidstabel[[#This Row],[NPV_Eksisterende]]*(Tidstabel[[#This Row],[Kalkulationsrente]]/(1-(1+Tidstabel[[#This Row],[Kalkulationsrente]])^-Tidstabel[[#This Row],[År]])))),BlankTegn)</f>
        <v>.</v>
      </c>
      <c r="AE71" s="264" t="str">
        <f>IFERROR(IF(Tidstabel[[#This Row],[År]]&gt;Input_Tidshorisont,BlankTegn,
IF(Tidstabel[[#This Row],[År]]=0,0,Tidstabel[[#This Row],[NPV_Klimafacade]]*(Tidstabel[[#This Row],[Kalkulationsrente]]/(1-(1+Tidstabel[[#This Row],[Kalkulationsrente]])^-Tidstabel[[#This Row],[År]])))),BlankTegn)</f>
        <v>.</v>
      </c>
      <c r="AF71" s="270" t="str">
        <f ca="1">IF(Tidstabel[[#This Row],[År]]&gt;Input_Tidshorisont,BlankTegn,
IF(EF_Vedligehold_i=1,IF(Tidstabel[[#This Row],[EF_Uds?]]=0,1,0),IF(MAX(AF70:OFFSET(AG70,2-EF_Vedligehold_i,0),Tidstabel[[#This Row],[EF_Uds?]])=0,1,0)))</f>
        <v>.</v>
      </c>
      <c r="AG71" s="181" t="str">
        <f>IF(Tidstabel[[#This Row],[År]]&gt;Input_Tidshorisont,BlankTegn,0)</f>
        <v>.</v>
      </c>
      <c r="AH71" s="263" t="str">
        <f>IF(Tidstabel[[#This Row],[År]]&gt;Input_Tidshorisont,BlankTegn,
Tidstabel[[#This Row],[EF_Ved?]]*EF_Vedligehold_p*-EF_Enhedspris*((1+Tidstabel[[#This Row],[Kalkulationsrente]])^-Tidstabel[[#This Row],[År]])*((1+PrisudviklingGenerelt)^Tidstabel[[#This Row],[År]]))</f>
        <v>.</v>
      </c>
      <c r="AI71" s="262" t="str">
        <f>IF(Tidstabel[[#This Row],[År]]&gt;Input_Tidshorisont,BlankTegn,
IF(Tidstabel[[#This Row],[År]]=0,Tidstabel[[#This Row],[EF_Vedligehold]],AI70+Tidstabel[[#This Row],[EF_Vedligehold]]))</f>
        <v>.</v>
      </c>
      <c r="AJ71" s="245" t="str">
        <f>IFERROR(IF(Tidstabel[[#This Row],[År]]&gt;Input_Tidshorisont,BlankTegn,
Tidstabel[[#This Row],[FB_Anskaffelse]]+Tidstabel[[#This Row],[VS_Anskaffelse]]+Tidstabel[[#This Row],[EI_Anskaffelse]]+Tidstabel[[#This Row],[AP_Anskaffelse]]+Tidstabel[[#This Row],[SK_Anskaffelse]]),BlankTegn)</f>
        <v>.</v>
      </c>
      <c r="AK71" s="245" t="str">
        <f>IFERROR(IF(Tidstabel[[#This Row],[År]]&gt;Input_Tidshorisont,BlankTegn,
IF(Tidstabel[[#This Row],[År]]=0,Tidstabel[[#This Row],[KF_Anskaffelse]],AK70+Tidstabel[[#This Row],[KF_Anskaffelse]])),BlankTegn)</f>
        <v>.</v>
      </c>
      <c r="AL71" s="246" t="str">
        <f>IFERROR(IF(Tidstabel[[#This Row],[År]]&gt;Input_Tidshorisont,BlankTegn,
Tidstabel[[#This Row],[FB_Vedligehold]]+Tidstabel[[#This Row],[VS_Vedligehold]]+Tidstabel[[#This Row],[EI_Vedligehold]]+Tidstabel[[#This Row],[AP_Vedligehold]]+Tidstabel[[#This Row],[SK_Vedligehold]]),BlankTegn)</f>
        <v>.</v>
      </c>
      <c r="AM71" s="245" t="str">
        <f>IFERROR(IF(Tidstabel[[#This Row],[År]]&gt;Input_Tidshorisont,BlankTegn,
IF(Tidstabel[[#This Row],[År]]=0,Tidstabel[[#This Row],[KF_Vedligehold]],AM70+Tidstabel[[#This Row],[KF_Vedligehold]])),BlankTegn)</f>
        <v>.</v>
      </c>
      <c r="AN71"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71"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71" s="245" t="str">
        <f>IFERROR(IF(Tidstabel[[#This Row],[År]]&gt;Input_Tidshorisont,BlankTegn,
IF(Tidstabel[[#This Row],[År]]=0,Tidstabel[[#This Row],[KF_Udskiftning_Komponent]],AP70+Tidstabel[[#This Row],[KF_Udskiftning_Komponent]])),BlankTegn)</f>
        <v>.</v>
      </c>
      <c r="AQ71" s="245" t="str">
        <f>IF(Tidstabel[[#This Row],[År]]&gt;Input_Tidshorisont,BlankTegn,
IF(Tidstabel[[#This Row],[År]]=0,-SUM(Engangsudgifter[Udgift]),0))</f>
        <v>.</v>
      </c>
      <c r="AR71" s="245" t="str">
        <f>IFERROR(IF(Tidstabel[[#This Row],[År]]&gt;Input_Tidshorisont,BlankTegn,
IF(Tidstabel[[#This Row],[År]]=0,Tidstabel[[#This Row],[KF_Engangsudgifter]],AR70+Tidstabel[[#This Row],[KF_Engangsudgifter]])),BlankTegn)</f>
        <v>.</v>
      </c>
      <c r="AS71" s="315" t="str">
        <f>IFERROR(IF(Tidstabel[[#This Row],[År]]&gt;Input_Tidshorisont,BlankTegn,
-Energibesparelse_Årlig),BlankTegn)</f>
        <v>.</v>
      </c>
      <c r="AT71" s="245" t="str">
        <f>IFERROR(IF(Tidstabel[[#This Row],[År]]&gt;Input_Tidshorisont,BlankTegn,
IF(Tidstabel[[#This Row],[År]]=0,0,-Tidstabel[[#This Row],[KF_Energiforbrug]]*Input_Fjernvarmepris*((1+Tidstabel[[#This Row],[Kalkulationsrente]])^-Tidstabel[[#This Row],[År]])*((1+PrisudviklingFjernvarme)^Tidstabel[[#This Row],[År]]))),BlankTegn)</f>
        <v>.</v>
      </c>
      <c r="AU71" s="262" t="str">
        <f>IFERROR(IF(Tidstabel[[#This Row],[År]]&gt;Input_Tidshorisont,BlankTegn,
IF(Tidstabel[[#This Row],[År]]=0,Tidstabel[[#This Row],[KF_Forsyning]],AU70+Tidstabel[[#This Row],[KF_Forsyning]])),BlankTegn)</f>
        <v>.</v>
      </c>
      <c r="AV71" s="245" t="str">
        <f>IFERROR(IF(Tidstabel[[#This Row],[År]]&gt;Input_Tidshorisont,BlankTegn,
IF(Tidstabel[[#This Row],[År]]=0,-FB_Enhedspris,0)),BlankTegn)</f>
        <v>.</v>
      </c>
      <c r="AW71" s="245" t="str">
        <f>IFERROR(IF(Tidstabel[[#This Row],[År]]&gt;Input_Tidshorisont,BlankTegn,
IF(Tidstabel[[#This Row],[År]]=0,FB_Enhedspris/FB_Levetid,AW70*((1+Tidstabel[[#This Row],[Kalkulationsrente]])^-1)*((1+PrisudviklingGenerelt)^1))),BlankTegn)</f>
        <v>.</v>
      </c>
      <c r="AX71" s="178" t="str">
        <f ca="1">IFERROR(IF(Tidstabel[[#This Row],[År]]&gt;Input_Tidshorisont,BlankTegn,
IF(FB_Vedligehold_i=1,IF(Tidstabel[[#This Row],[FB_Uds?]]=0,1,0),IF(MAX(AX70:OFFSET(AY70,2-FB_Vedligehold_i,0),Tidstabel[[#This Row],[FB_Uds?]])=0,1,0))),BlankTegn)</f>
        <v>.</v>
      </c>
      <c r="AY71" s="178" t="str">
        <f>IFERROR(IF(Tidstabel[[#This Row],[År]]&gt;Input_Tidshorisont,BlankTegn,
IF(Tidstabel[[#This Row],[År]]=0,1,IF(MOD(Tidstabel[[#This Row],[År]],FB_Levetid)=0,1,IF(Tidstabel[[#This Row],[År]]=Input_Tidshorisont,0,0)))),BlankTegn)</f>
        <v>.</v>
      </c>
      <c r="AZ71" s="245" t="str">
        <f>IFERROR(IF(Tidstabel[[#This Row],[År]]&gt;Input_Tidshorisont,BlankTegn,
FB_Vedligehold_p*-FB_Enhedspris*Tidstabel[[#This Row],[FB_Ved?]]*((1+Tidstabel[[#This Row],[Kalkulationsrente]])^-Tidstabel[[#This Row],[År]])*((1+PrisudviklingGenerelt)^Tidstabel[[#This Row],[År]])),BlankTegn)</f>
        <v>.</v>
      </c>
      <c r="BA71" s="245" t="str">
        <f>IFERROR(IF(Tidstabel[[#This Row],[År]]&gt;Input_Tidshorisont,BlankTegn,
IF(Tidstabel[[#This Row],[År]]=0,FB_Enhedspris,SUM(BA70:BB70)*((1+Tidstabel[[#This Row],[Kalkulationsrente]])^-1)*((1+PrisudviklingGenerelt)^1)-Tidstabel[[#This Row],[FB_Afskrivning]])),BlankTegn)</f>
        <v>.</v>
      </c>
      <c r="BB71" s="245" t="str">
        <f>IFERROR(IF(Tidstabel[[#This Row],[År]]&gt;Input_Tidshorisont,BlankTegn,
IF(Tidstabel[[#This Row],[År]]=0,0,Tidstabel[[#This Row],[FB_Uds?]]*FB_Enhedspris*((1+Tidstabel[[#This Row],[Kalkulationsrente]])^-Tidstabel[[#This Row],[År]])*((1+PrisudviklingGenerelt)^Tidstabel[[#This Row],[År]]))),BlankTegn)</f>
        <v>.</v>
      </c>
      <c r="BC71" s="262" t="str">
        <f>IFERROR(IF(Tidstabel[[#This Row],[År]]&gt;Input_Tidshorisont,BlankTegn,
IF(Tidstabel[[#This Row],[År]]=0,0,Tidstabel[[#This Row],[FB_Uds?]]*-FB_Enhedspris*FB_Genoprettelse*((1+Tidstabel[[#This Row],[Kalkulationsrente]])^-Tidstabel[[#This Row],[År]])*((1+PrisudviklingGenerelt)^Tidstabel[[#This Row],[År]]))),BlankTegn)</f>
        <v>.</v>
      </c>
      <c r="BD71" s="245" t="str">
        <f>IFERROR(IF(Tidstabel[[#This Row],[År]]&gt;Input_Tidshorisont,BlankTegn,
IF(Tidstabel[[#This Row],[År]]=0,-VS_Enhedspris,0)),BlankTegn)</f>
        <v>.</v>
      </c>
      <c r="BE71" s="245" t="str">
        <f>IFERROR(IF(Tidstabel[[#This Row],[År]]&gt;Input_Tidshorisont,BlankTegn,
IF(Tidstabel[[#This Row],[År]]=0,VS_Enhedspris/VS_Levetid,BE70*((1+Tidstabel[[#This Row],[Kalkulationsrente]])^-1)*((1+PrisudviklingGenerelt)^1))),BlankTegn)</f>
        <v>.</v>
      </c>
      <c r="BF71" s="178" t="str">
        <f ca="1">IFERROR(IF(Tidstabel[[#This Row],[År]]&gt;Input_Tidshorisont,BlankTegn,
IF(VS_Vedligehold_i=1,IF(Tidstabel[[#This Row],[VS_Uds?]]=0,1,0),IF(MAX(BF70:OFFSET(BG70,2-VS_Vedligehold_i,0),Tidstabel[[#This Row],[VS_Uds?]])=0,1,0))),BlankTegn)</f>
        <v>.</v>
      </c>
      <c r="BG71" s="178" t="str">
        <f>IFERROR(IF(Tidstabel[[#This Row],[År]]&gt;Input_Tidshorisont,BlankTegn,
IF(Tidstabel[[#This Row],[År]]=0,1,IF(MOD(Tidstabel[[#This Row],[År]],VS_Levetid)=0,1,IF(Tidstabel[[#This Row],[År]]=Input_Tidshorisont,0,0)))),BlankTegn)</f>
        <v>.</v>
      </c>
      <c r="BH71" s="245" t="str">
        <f>IFERROR(IF(Tidstabel[[#This Row],[År]]&gt;Input_Tidshorisont,BlankTegn,
VS_Vedligehold_p*-VS_Enhedspris*Tidstabel[[#This Row],[VS_Ved?]]*((1+Tidstabel[[#This Row],[Kalkulationsrente]])^-Tidstabel[[#This Row],[År]])*((1+PrisudviklingGenerelt)^Tidstabel[[#This Row],[År]])),BlankTegn)</f>
        <v>.</v>
      </c>
      <c r="BI71" s="245" t="str">
        <f>IFERROR(IF(Tidstabel[[#This Row],[År]]&gt;Input_Tidshorisont,BlankTegn,
IF(Tidstabel[[#This Row],[År]]=0,VS_Enhedspris,SUM(BI70:BJ70)*((1+Tidstabel[[#This Row],[Kalkulationsrente]])^-1)*((1+PrisudviklingGenerelt)^1)-Tidstabel[[#This Row],[VS_Afskrivning]])),BlankTegn)</f>
        <v>.</v>
      </c>
      <c r="BJ71" s="245" t="str">
        <f>IFERROR(IF(Tidstabel[[#This Row],[År]]&gt;Input_Tidshorisont,BlankTegn,
IF(Tidstabel[[#This Row],[År]]=0,0,Tidstabel[[#This Row],[VS_Uds?]]*VS_Enhedspris*((1+Tidstabel[[#This Row],[Kalkulationsrente]])^-Tidstabel[[#This Row],[År]])*((1+PrisudviklingGenerelt)^Tidstabel[[#This Row],[År]]))),BlankTegn)</f>
        <v>.</v>
      </c>
      <c r="BK71" s="262" t="str">
        <f>IFERROR(IF(Tidstabel[[#This Row],[År]]&gt;Input_Tidshorisont,BlankTegn,
IF(Tidstabel[[#This Row],[År]]=0,0,Tidstabel[[#This Row],[VS_Uds?]]*-VS_Enhedspris*VS_Genoprettelse*((1+Tidstabel[[#This Row],[Kalkulationsrente]])^-Tidstabel[[#This Row],[År]])*((1+PrisudviklingGenerelt)^Tidstabel[[#This Row],[År]]))),BlankTegn)</f>
        <v>.</v>
      </c>
      <c r="BL71" s="245" t="str">
        <f>IFERROR(IF(Tidstabel[[#This Row],[År]]&gt;Input_Tidshorisont,BlankTegn,
IF(Tidstabel[[#This Row],[År]]=0,-EI_Enhedspris,0)),BlankTegn)</f>
        <v>.</v>
      </c>
      <c r="BM71" s="245" t="str">
        <f>IFERROR(IF(Tidstabel[[#This Row],[År]]&gt;Input_Tidshorisont,BlankTegn,
IF(Tidstabel[[#This Row],[År]]=0,EI_Enhedspris/EI_Levetid,BM70*((1+Tidstabel[[#This Row],[Kalkulationsrente]])^-1)*((1+PrisudviklingGenerelt)^1))),BlankTegn)</f>
        <v>.</v>
      </c>
      <c r="BN71" s="178" t="str">
        <f ca="1">IFERROR(IF(Tidstabel[[#This Row],[År]]&gt;Input_Tidshorisont,BlankTegn,
IF(EI_Vedligehold_i=1,IF(Tidstabel[[#This Row],[EI_Uds?]]=0,1,0),IF(MAX(BN70:OFFSET(BO70,2-EI_Vedligehold_i,0),Tidstabel[[#This Row],[EI_Uds?]])=0,1,0))),BlankTegn)</f>
        <v>.</v>
      </c>
      <c r="BO71" s="178" t="str">
        <f>IFERROR(IF(Tidstabel[[#This Row],[År]]&gt;Input_Tidshorisont,BlankTegn,
IF(Tidstabel[[#This Row],[År]]=0,1,IF(MOD(Tidstabel[[#This Row],[År]],EI_Levetid)=0,1,IF(Tidstabel[[#This Row],[År]]=Input_Tidshorisont,0,0)))),BlankTegn)</f>
        <v>.</v>
      </c>
      <c r="BP71" s="245" t="str">
        <f>IFERROR(IF(Tidstabel[[#This Row],[År]]&gt;Input_Tidshorisont,BlankTegn,
EI_Vedligehold_p*-EI_Enhedspris*Tidstabel[[#This Row],[EI_Ved?]]*((1+Tidstabel[[#This Row],[Kalkulationsrente]])^-Tidstabel[[#This Row],[År]])*((1+PrisudviklingGenerelt)^Tidstabel[[#This Row],[År]])),BlankTegn)</f>
        <v>.</v>
      </c>
      <c r="BQ71" s="245" t="str">
        <f>IFERROR(IF(Tidstabel[[#This Row],[År]]&gt;Input_Tidshorisont,BlankTegn,
IF(Tidstabel[[#This Row],[År]]=0,EI_Enhedspris,SUM(BQ70:BR70)*((1+Tidstabel[[#This Row],[Kalkulationsrente]])^-1)*((1+PrisudviklingGenerelt)^1)-Tidstabel[[#This Row],[EI_Afskrivning]])),BlankTegn)</f>
        <v>.</v>
      </c>
      <c r="BR71" s="245" t="str">
        <f>IFERROR(IF(Tidstabel[[#This Row],[År]]&gt;Input_Tidshorisont,BlankTegn,
IF(Tidstabel[[#This Row],[År]]=0,0,Tidstabel[[#This Row],[EI_Uds?]]*EI_Enhedspris*((1+Tidstabel[[#This Row],[Kalkulationsrente]])^-Tidstabel[[#This Row],[År]])*((1+PrisudviklingGenerelt)^Tidstabel[[#This Row],[År]]))),BlankTegn)</f>
        <v>.</v>
      </c>
      <c r="BS71" s="262" t="str">
        <f>IFERROR(IF(Tidstabel[[#This Row],[År]]&gt;Input_Tidshorisont,BlankTegn,
IF(Tidstabel[[#This Row],[År]]=0,0,Tidstabel[[#This Row],[EI_Uds?]]*-EI_Enhedspris*EI_Genoprettelse*((1+Tidstabel[[#This Row],[Kalkulationsrente]])^-Tidstabel[[#This Row],[År]])*((1+PrisudviklingGenerelt)^Tidstabel[[#This Row],[År]]))),BlankTegn)</f>
        <v>.</v>
      </c>
      <c r="BT71" s="245" t="str">
        <f>IFERROR(IF(Tidstabel[[#This Row],[År]]&gt;Input_Tidshorisont,BlankTegn,
IF(Tidstabel[[#This Row],[År]]=0,-AP_Enhedspris,0)),BlankTegn)</f>
        <v>.</v>
      </c>
      <c r="BU71" s="245" t="str">
        <f>IFERROR(IF(Tidstabel[[#This Row],[År]]&gt;Input_Tidshorisont,BlankTegn,
IF(Tidstabel[[#This Row],[År]]=0,AP_Enhedspris/AP_Levetid,BU70*((1+Tidstabel[[#This Row],[Kalkulationsrente]])^-1)*((1+PrisudviklingGenerelt)^1))),BlankTegn)</f>
        <v>.</v>
      </c>
      <c r="BV71" s="178" t="str">
        <f ca="1">IFERROR(IF(Tidstabel[[#This Row],[År]]&gt;Input_Tidshorisont,BlankTegn,
IF(AP_Vedligehold_i=1,IF(Tidstabel[[#This Row],[AP_Uds?]]=0,1,0),IF(MAX(BV70:OFFSET(BW70,2-AP_Vedligehold_i,0),Tidstabel[[#This Row],[AP_Uds?]])=0,1,0))),BlankTegn)</f>
        <v>.</v>
      </c>
      <c r="BW71" s="178" t="str">
        <f>IFERROR(IF(Tidstabel[[#This Row],[År]]&gt;Input_Tidshorisont,BlankTegn,
IF(Tidstabel[[#This Row],[År]]=0,1,IF(MOD(Tidstabel[[#This Row],[År]],AP_Levetid)=0,1,IF(Tidstabel[[#This Row],[År]]=Input_Tidshorisont,0,0)))),BlankTegn)</f>
        <v>.</v>
      </c>
      <c r="BX71" s="245" t="str">
        <f>IFERROR(IF(Tidstabel[[#This Row],[År]]&gt;Input_Tidshorisont,BlankTegn,
AP_Vedligehold_p*-AP_Enhedspris*Tidstabel[[#This Row],[AP_Ved?]]*((1+Tidstabel[[#This Row],[Kalkulationsrente]])^-Tidstabel[[#This Row],[År]])*((1+PrisudviklingGenerelt)^Tidstabel[[#This Row],[År]])),BlankTegn)</f>
        <v>.</v>
      </c>
      <c r="BY71" s="245" t="str">
        <f>IFERROR(IF(Tidstabel[[#This Row],[År]]&gt;Input_Tidshorisont,BlankTegn,
IF(Tidstabel[[#This Row],[År]]=0,AP_Enhedspris,SUM(BY70:BZ70)*((1+Tidstabel[[#This Row],[Kalkulationsrente]])^-1)*((1+PrisudviklingGenerelt)^1)-Tidstabel[[#This Row],[AP_Afskrivning]])),BlankTegn)</f>
        <v>.</v>
      </c>
      <c r="BZ71" s="245" t="str">
        <f>IFERROR(IF(Tidstabel[[#This Row],[År]]&gt;Input_Tidshorisont,BlankTegn,
IF(Tidstabel[[#This Row],[År]]=0,0,Tidstabel[[#This Row],[AP_Uds?]]*AP_Enhedspris*((1+Tidstabel[[#This Row],[Kalkulationsrente]])^-Tidstabel[[#This Row],[År]])*((1+PrisudviklingGenerelt)^Tidstabel[[#This Row],[År]]))),BlankTegn)</f>
        <v>.</v>
      </c>
      <c r="CA71" s="262" t="str">
        <f>IFERROR(IF(Tidstabel[[#This Row],[År]]&gt;Input_Tidshorisont,BlankTegn,
IF(Tidstabel[[#This Row],[År]]=0,0,Tidstabel[[#This Row],[AP_Uds?]]*-AP_Enhedspris*AP_Genoprettelse*((1+Tidstabel[[#This Row],[Kalkulationsrente]])^-Tidstabel[[#This Row],[År]])*((1+PrisudviklingGenerelt)^Tidstabel[[#This Row],[År]]))),BlankTegn)</f>
        <v>.</v>
      </c>
      <c r="CB71" s="245" t="str">
        <f>IFERROR(IF(Tidstabel[[#This Row],[År]]&gt;Input_Tidshorisont,BlankTegn,
IF(Tidstabel[[#This Row],[År]]=0,-SK_Enhedspris,0)),BlankTegn)</f>
        <v>.</v>
      </c>
      <c r="CC71" s="245" t="str">
        <f>IFERROR(IF(Tidstabel[[#This Row],[År]]&gt;Input_Tidshorisont,BlankTegn,
IF(Tidstabel[[#This Row],[År]]=0,SK_Enhedspris/SK_Levetid,CC70*((1+Tidstabel[[#This Row],[Kalkulationsrente]])^-1)*((1+PrisudviklingGenerelt)^1))),BlankTegn)</f>
        <v>.</v>
      </c>
      <c r="CD71" s="178" t="str">
        <f ca="1">IFERROR(IF(Tidstabel[[#This Row],[År]]&gt;Input_Tidshorisont,BlankTegn,
IF(SK_Vedligehold_i=1,IF(Tidstabel[[#This Row],[SK_Uds?]]=0,1,0),IF(MAX(CD70:OFFSET(CE70,2-SK_Vedligehold_i,0),Tidstabel[[#This Row],[SK_Uds?]])=0,1,0))),BlankTegn)</f>
        <v>.</v>
      </c>
      <c r="CE71" s="178" t="str">
        <f>IFERROR(IF(Tidstabel[[#This Row],[År]]&gt;Input_Tidshorisont,BlankTegn,
IF(Tidstabel[[#This Row],[År]]=0,1,IF(MOD(Tidstabel[[#This Row],[År]],SK_Levetid)=0,1,IF(Tidstabel[[#This Row],[År]]=Input_Tidshorisont,0,0)))),BlankTegn)</f>
        <v>.</v>
      </c>
      <c r="CF71" s="245" t="str">
        <f>IFERROR(IF(Tidstabel[[#This Row],[År]]&gt;Input_Tidshorisont,BlankTegn,
SK_Vedligehold_p*-SK_Enhedspris*Tidstabel[[#This Row],[SK_Ved?]]*((1+Tidstabel[[#This Row],[Kalkulationsrente]])^-Tidstabel[[#This Row],[År]])*((1+PrisudviklingGenerelt)^Tidstabel[[#This Row],[År]])),BlankTegn)</f>
        <v>.</v>
      </c>
      <c r="CG71" s="245" t="str">
        <f>IFERROR(IF(Tidstabel[[#This Row],[År]]&gt;Input_Tidshorisont,BlankTegn,
IF(Tidstabel[[#This Row],[År]]=0,SK_Enhedspris,SUM(CG70:CH70)*((1+Tidstabel[[#This Row],[Kalkulationsrente]])^-1)*((1+PrisudviklingGenerelt)^1)-Tidstabel[[#This Row],[SK_Afskrivning]])),BlankTegn)</f>
        <v>.</v>
      </c>
      <c r="CH71" s="245" t="str">
        <f>IFERROR(IF(Tidstabel[[#This Row],[År]]&gt;Input_Tidshorisont,BlankTegn,
IF(Tidstabel[[#This Row],[År]]=0,0,Tidstabel[[#This Row],[SK_Uds?]]*SK_Enhedspris*((1+Tidstabel[[#This Row],[Kalkulationsrente]])^-Tidstabel[[#This Row],[År]])*((1+PrisudviklingGenerelt)^Tidstabel[[#This Row],[År]]))),BlankTegn)</f>
        <v>.</v>
      </c>
      <c r="CI71" s="262" t="str">
        <f>IFERROR(IF(Tidstabel[[#This Row],[År]]&gt;Input_Tidshorisont,BlankTegn,
IF(Tidstabel[[#This Row],[År]]=0,0,Tidstabel[[#This Row],[SK_Uds?]]*-SK_Enhedspris*SK_Genoprettelse*((1+Tidstabel[[#This Row],[Kalkulationsrente]])^-Tidstabel[[#This Row],[År]])*((1+PrisudviklingGenerelt)^Tidstabel[[#This Row],[År]]))),BlankTegn)</f>
        <v>.</v>
      </c>
      <c r="CJ71" s="19"/>
    </row>
    <row r="72" spans="1:88">
      <c r="A72" s="250">
        <v>65</v>
      </c>
      <c r="B72" s="250">
        <f>Input_Etableringsår+Tidstabel[[#This Row],[År]]</f>
        <v>2089</v>
      </c>
      <c r="C72" s="274" cm="1">
        <f t="array" ref="C72">_xlfn.IFS(Tidstabel[[#This Row],[År]]&gt;KR_Trin3_Tærskel,KR_Trin3_Rente,Tidstabel[[#This Row],[År]]&gt;KR_Trin2_Tærskel,KR_Trin2_Rente,Tidstabel[[#This Row],[År]]&gt;KR_Trin1_Tærskel,KR_Trin1_Rente,Tidstabel[[#This Row],[År]]&gt;KR_Trin0_Tærskel,KR_Trin0_Rente)</f>
        <v>2.5000000000000001E-2</v>
      </c>
      <c r="D72" s="142" t="str" cm="1">
        <f t="array" ref="D72">IFERROR(
INDEX(Range_Materiale_ÅrligeEmissioner,MATCH(1,(Materialedata[Komponent]=FB_Titel)*(Materialedata[Materiale]=FB_Materiale),0),MATCH(Tidstabel[[#This Row],[År]],Range_Materiale_År,0)),BlankTegn)</f>
        <v>.</v>
      </c>
      <c r="E72" s="142" t="str" cm="1">
        <f t="array" ref="E72">IFERROR(
INDEX(Range_Materiale_ÅrligeEmissioner,MATCH(1,(Materialedata[Komponent]=SK_Titel)*(Materialedata[Materiale]=SK_Materiale),0),MATCH(Tidstabel[[#This Row],[År]],Range_Materiale_År,0)),BlankTegn)</f>
        <v>.</v>
      </c>
      <c r="F72" s="142" t="str" cm="1">
        <f t="array" ref="F72">IFERROR(
INDEX(Range_Materiale_ÅrligeEmissioner,MATCH(1,(Materialedata[Komponent]=EI_Titel)*(Materialedata[Materiale]=EI_Materiale),0),MATCH(Tidstabel[[#This Row],[År]],Range_Materiale_År,0)),BlankTegn)</f>
        <v>.</v>
      </c>
      <c r="G72" s="142" t="str" cm="1">
        <f t="array" ref="G72">IFERROR(
INDEX(Range_Materiale_ÅrligeEmissioner,MATCH(1,(Materialedata[Komponent]=AP_Titel)*(Materialedata[Materiale]=AP_Materiale),0),MATCH(Tidstabel[[#This Row],[År]],Range_Materiale_År,0)),BlankTegn)</f>
        <v>.</v>
      </c>
      <c r="H72" s="142" t="str" cm="1">
        <f t="array" ref="H72">IFERROR(
INDEX(Range_Materiale_ÅrligeEmissioner,MATCH(1,(Materialedata[Komponent]=VS_Titel)*(Materialedata[Materiale]=VS_Materiale),0),MATCH(Tidstabel[[#This Row],[År]],Range_Materiale_År,0)),BlankTegn)</f>
        <v>.</v>
      </c>
      <c r="I72" s="142" t="str">
        <f>IFERROR(
IF(SUM(Tidstabel[[#This Row],[Facadebeklædning]:[Vindspærre]])=0,BlankTegn,
SUM(Tidstabel[[#This Row],[Facadebeklædning]:[Vindspærre]])),BlankTegn)</f>
        <v>.</v>
      </c>
      <c r="J72" s="139" t="str">
        <f>IF(Tidstabel[[#This Row],[År]]&gt;Input_Tidshorisont,BlankTegn,
A5_ElVarmeBrændstofByggeplads)</f>
        <v>.</v>
      </c>
      <c r="K72" s="142" t="str">
        <f>IFERROR(IF(Tidstabel[[#This Row],[År]]&gt;Input_Tidshorisont,BlankTegn,
-1*INDEX(Range_Energi_ÅrligBesparelse,MATCH(Input_EksisterendeFacade,Energiberegning[Ydervæg],0),MATCH(Tidstabel[[#This Row],[Årstal]],Range_Energi_Årstal,0))),BlankTegn)</f>
        <v>.</v>
      </c>
      <c r="L72" s="142" t="str">
        <f>IF(Tidstabel[[#This Row],[År]]&gt;Input_Tidshorisont,BlankTegn,
(Tidstabel[[#This Row],[År]]+1)*(SUM(Vedligeholdelsesmaterialer[Facadefarve],Vedligeholdelsesmaterialer[Grunder og mellemmaling])/12+SUM(Vedligeholdelsesmaterialer[Puds])/30))</f>
        <v>.</v>
      </c>
      <c r="M72" s="142" t="str">
        <f>IFERROR(IF(Tidstabel[[#This Row],[År]]&gt;Input_Tidshorisont,BlankTegn,
Tidstabel[[#This Row],[Materialer_Total]]+Tidstabel[[#This Row],[Byggeprocess]]),BlankTegn)</f>
        <v>.</v>
      </c>
      <c r="N72" s="142" t="str">
        <f>IFERROR(IF(Tidstabel[[#This Row],[År]]&gt;Input_Tidshorisont,BlankTegn,
Tidstabel[[#This Row],[Energibesparelse]]+Tidstabel[[#This Row],[Emission_Brutto]]),BlankTegn)</f>
        <v>.</v>
      </c>
      <c r="O72" s="142" t="str">
        <f>IFERROR(IF(Tidstabel[[#This Row],[År]]&gt;Input_Tidshorisont,BlankTegn,
Tidstabel[[#This Row],[Emission_Netto]]-Tidstabel[[#This Row],[Vedligehold_EksisterendeFacade]]),BlankTegn)</f>
        <v>.</v>
      </c>
      <c r="P72" s="271" t="str">
        <f>IFERROR(IF(Tidstabel[[#This Row],[År]]&gt;Input_Tidshorisont,BlankTegn,
IF(AND(Tidstabel[[#This Row],[Emission_Netto]]-Tidstabel[[#This Row],[Vedligehold_EksisterendeFacade]]&gt;0,N73-L73&lt;0),-1,IF(AND(Tidstabel[[#This Row],[Emission_Netto]]-Tidstabel[[#This Row],[Vedligehold_EksisterendeFacade]]&lt;0,N73-L73&gt;0),1,0))),BlankTegn)</f>
        <v>.</v>
      </c>
      <c r="Q72" s="174" t="str">
        <f>IF(Tidstabel[[#This Row],[År]]&gt;Input_Tidshorisont,BlankTegn,
IF(Tidstabel[[#This Row],[LCA-Skæring]]=-1,SUM(Tidstabel[[#This Row],[År]]*(1-ABS(Tidstabel[[#This Row],[LCA-Difference]])/(ABS(Tidstabel[[#This Row],[LCA-Difference]])+ABS(O73))),A73*(1-ABS(O73)/(ABS(Tidstabel[[#This Row],[LCA-Difference]])+ABS(O73)))),"-"))</f>
        <v>.</v>
      </c>
      <c r="R72" s="174" t="str">
        <f>IF(Tidstabel[[#This Row],[År]]&gt;Input_Tidshorisont,BlankTegn,
IF(Tidstabel[[#This Row],[LCA-Skæring]]=-1,SUM(Tidstabel[[#This Row],[Emission_Netto]]*(1-ABS(Tidstabel[[#This Row],[LCA-Difference]])/(ABS(Tidstabel[[#This Row],[LCA-Difference]])+ABS(O73))),N73*(1-ABS(O73)/(ABS(Tidstabel[[#This Row],[LCA-Difference]])+ABS(O73)))),"-"))</f>
        <v>.</v>
      </c>
      <c r="S72" s="174" t="str">
        <f>IF(Tidstabel[[#This Row],[År]]&gt;Input_Tidshorisont,BlankTegn,
IF(Tidstabel[[#This Row],[LCA-Skæring]]=1,SUM(Tidstabel[[#This Row],[År]]*(1-ABS(Tidstabel[[#This Row],[LCA-Difference]])/(ABS(Tidstabel[[#This Row],[LCA-Difference]])+ABS(O73))),A73*(1-ABS(O73)/(ABS(Tidstabel[[#This Row],[LCA-Difference]])+ABS(O73)))),"-"))</f>
        <v>.</v>
      </c>
      <c r="T72" s="264" t="str">
        <f>IF(Tidstabel[[#This Row],[År]]&gt;Input_Tidshorisont,BlankTegn,
IF(Tidstabel[[#This Row],[LCA-Skæring]]=1,SUM(Tidstabel[[#This Row],[Emission_Netto]]*(1-ABS(Tidstabel[[#This Row],[LCA-Difference]])/(ABS(Tidstabel[[#This Row],[LCA-Difference]])+ABS(O73))),N73*(1-ABS(O73)/(ABS(Tidstabel[[#This Row],[LCA-Difference]])+ABS(O73)))),"-"))</f>
        <v>.</v>
      </c>
      <c r="U72" s="142" t="str">
        <f>IFERROR(IF(Tidstabel[[#This Row],[År]]&gt;Input_Tidshorisont,BlankTegn,
Tidstabel[[#This Row],[NPV_Klimafacade]]-Tidstabel[[#This Row],[NPV_Eksisterende]]),BlankTegn)</f>
        <v>.</v>
      </c>
      <c r="V72" s="271" t="str">
        <f>IFERROR(IF(Tidstabel[[#This Row],[År]]&gt;Input_Tidshorisont,BlankTegn,
IF(AND(Tidstabel[[#This Row],[NPV_Klimafacade]]-Tidstabel[[#This Row],[NPV_Eksisterende]]&gt;0,AB73-AA73&lt;0),1,IF(AND(Tidstabel[[#This Row],[NPV_Klimafacade]]-Tidstabel[[#This Row],[NPV_Eksisterende]]&lt;0,AB73-AA73&gt;0),-1,0))),BlankTegn)</f>
        <v>.</v>
      </c>
      <c r="W72" s="174" t="str">
        <f>IF(Tidstabel[[#This Row],[År]]&gt;Input_Tidshorisont,BlankTegn,
IF(Tidstabel[[#This Row],[LCC-Skæring]]=-1,SUM(Tidstabel[[#This Row],[År]]*(1-ABS(Tidstabel[[#This Row],[LCC-Difference]])/(ABS(Tidstabel[[#This Row],[LCC-Difference]])+ABS(U73))),A73*(1-ABS(U73)/(ABS(Tidstabel[[#This Row],[LCC-Difference]])+ABS(U73)))),"-"))</f>
        <v>.</v>
      </c>
      <c r="X72" s="174" t="str">
        <f>IF(Tidstabel[[#This Row],[År]]&gt;Input_Tidshorisont,BlankTegn,
IF(Tidstabel[[#This Row],[LCC-Skæring]]=-1,SUM(Tidstabel[[#This Row],[NPV_Klimafacade]]*(1-ABS(Tidstabel[[#This Row],[LCC-Difference]])/(ABS(Tidstabel[[#This Row],[LCC-Difference]])+ABS(U73))),AB73*(1-ABS(U73)/(ABS(Tidstabel[[#This Row],[LCC-Difference]])+ABS(U73)))),"-"))</f>
        <v>.</v>
      </c>
      <c r="Y72" s="174" t="str">
        <f>IF(Tidstabel[[#This Row],[År]]&gt;Input_Tidshorisont,BlankTegn,
IF(Tidstabel[[#This Row],[LCC-Skæring]]=1,SUM(Tidstabel[[#This Row],[År]]*(1-ABS(Tidstabel[[#This Row],[LCC-Difference]])/(ABS(Tidstabel[[#This Row],[LCC-Difference]])+ABS(U73))),A73*(1-ABS(U73)/(ABS(Tidstabel[[#This Row],[LCC-Difference]])+ABS(U73)))),"-"))</f>
        <v>.</v>
      </c>
      <c r="Z72" s="264" t="str">
        <f>IF(Tidstabel[[#This Row],[År]]&gt;Input_Tidshorisont,BlankTegn,
IF(Tidstabel[[#This Row],[LCC-Skæring]]=1,SUM(Tidstabel[[#This Row],[NPV_Klimafacade]]*(1-ABS(Tidstabel[[#This Row],[LCC-Difference]])/(ABS(Tidstabel[[#This Row],[LCC-Difference]])+ABS(U73))),AB73*(1-ABS(U73)/(ABS(Tidstabel[[#This Row],[LCC-Difference]])+ABS(U73)))),"-"))</f>
        <v>.</v>
      </c>
      <c r="AA72" s="142" t="str">
        <f>IF(Tidstabel[[#This Row],[År]]&gt;Input_Tidshorisont,BlankTegn,
Tidstabel[[#This Row],[EF_Vedligehold_Aggregeret]])</f>
        <v>.</v>
      </c>
      <c r="AB72"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2" s="142" t="str">
        <f>IFERROR(IF(Tidstabel[[#This Row],[År]]&gt;Input_Tidshorisont,BlankTegn,
Tidstabel[[#This Row],[KF_Anskaffelse_Aggregeret]]+Tidstabel[[#This Row],[KF_Engangsudgifter_Aggregeret]]),BlankTegn)</f>
        <v>.</v>
      </c>
      <c r="AD72" s="174" t="str">
        <f>IFERROR(IF(Tidstabel[[#This Row],[År]]&gt;Input_Tidshorisont,BlankTegn,
IF(Tidstabel[[#This Row],[År]]=0,0,Tidstabel[[#This Row],[NPV_Eksisterende]]*(Tidstabel[[#This Row],[Kalkulationsrente]]/(1-(1+Tidstabel[[#This Row],[Kalkulationsrente]])^-Tidstabel[[#This Row],[År]])))),BlankTegn)</f>
        <v>.</v>
      </c>
      <c r="AE72" s="264" t="str">
        <f>IFERROR(IF(Tidstabel[[#This Row],[År]]&gt;Input_Tidshorisont,BlankTegn,
IF(Tidstabel[[#This Row],[År]]=0,0,Tidstabel[[#This Row],[NPV_Klimafacade]]*(Tidstabel[[#This Row],[Kalkulationsrente]]/(1-(1+Tidstabel[[#This Row],[Kalkulationsrente]])^-Tidstabel[[#This Row],[År]])))),BlankTegn)</f>
        <v>.</v>
      </c>
      <c r="AF72" s="270" t="str">
        <f ca="1">IF(Tidstabel[[#This Row],[År]]&gt;Input_Tidshorisont,BlankTegn,
IF(EF_Vedligehold_i=1,IF(Tidstabel[[#This Row],[EF_Uds?]]=0,1,0),IF(MAX(AF71:OFFSET(AG71,2-EF_Vedligehold_i,0),Tidstabel[[#This Row],[EF_Uds?]])=0,1,0)))</f>
        <v>.</v>
      </c>
      <c r="AG72" s="181" t="str">
        <f>IF(Tidstabel[[#This Row],[År]]&gt;Input_Tidshorisont,BlankTegn,0)</f>
        <v>.</v>
      </c>
      <c r="AH72" s="263" t="str">
        <f>IF(Tidstabel[[#This Row],[År]]&gt;Input_Tidshorisont,BlankTegn,
Tidstabel[[#This Row],[EF_Ved?]]*EF_Vedligehold_p*-EF_Enhedspris*((1+Tidstabel[[#This Row],[Kalkulationsrente]])^-Tidstabel[[#This Row],[År]])*((1+PrisudviklingGenerelt)^Tidstabel[[#This Row],[År]]))</f>
        <v>.</v>
      </c>
      <c r="AI72" s="262" t="str">
        <f>IF(Tidstabel[[#This Row],[År]]&gt;Input_Tidshorisont,BlankTegn,
IF(Tidstabel[[#This Row],[År]]=0,Tidstabel[[#This Row],[EF_Vedligehold]],AI71+Tidstabel[[#This Row],[EF_Vedligehold]]))</f>
        <v>.</v>
      </c>
      <c r="AJ72" s="245" t="str">
        <f>IFERROR(IF(Tidstabel[[#This Row],[År]]&gt;Input_Tidshorisont,BlankTegn,
Tidstabel[[#This Row],[FB_Anskaffelse]]+Tidstabel[[#This Row],[VS_Anskaffelse]]+Tidstabel[[#This Row],[EI_Anskaffelse]]+Tidstabel[[#This Row],[AP_Anskaffelse]]+Tidstabel[[#This Row],[SK_Anskaffelse]]),BlankTegn)</f>
        <v>.</v>
      </c>
      <c r="AK72" s="245" t="str">
        <f>IFERROR(IF(Tidstabel[[#This Row],[År]]&gt;Input_Tidshorisont,BlankTegn,
IF(Tidstabel[[#This Row],[År]]=0,Tidstabel[[#This Row],[KF_Anskaffelse]],AK71+Tidstabel[[#This Row],[KF_Anskaffelse]])),BlankTegn)</f>
        <v>.</v>
      </c>
      <c r="AL72" s="246" t="str">
        <f>IFERROR(IF(Tidstabel[[#This Row],[År]]&gt;Input_Tidshorisont,BlankTegn,
Tidstabel[[#This Row],[FB_Vedligehold]]+Tidstabel[[#This Row],[VS_Vedligehold]]+Tidstabel[[#This Row],[EI_Vedligehold]]+Tidstabel[[#This Row],[AP_Vedligehold]]+Tidstabel[[#This Row],[SK_Vedligehold]]),BlankTegn)</f>
        <v>.</v>
      </c>
      <c r="AM72" s="245" t="str">
        <f>IFERROR(IF(Tidstabel[[#This Row],[År]]&gt;Input_Tidshorisont,BlankTegn,
IF(Tidstabel[[#This Row],[År]]=0,Tidstabel[[#This Row],[KF_Vedligehold]],AM71+Tidstabel[[#This Row],[KF_Vedligehold]])),BlankTegn)</f>
        <v>.</v>
      </c>
      <c r="AN72"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72"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72" s="245" t="str">
        <f>IFERROR(IF(Tidstabel[[#This Row],[År]]&gt;Input_Tidshorisont,BlankTegn,
IF(Tidstabel[[#This Row],[År]]=0,Tidstabel[[#This Row],[KF_Udskiftning_Komponent]],AP71+Tidstabel[[#This Row],[KF_Udskiftning_Komponent]])),BlankTegn)</f>
        <v>.</v>
      </c>
      <c r="AQ72" s="245" t="str">
        <f>IF(Tidstabel[[#This Row],[År]]&gt;Input_Tidshorisont,BlankTegn,
IF(Tidstabel[[#This Row],[År]]=0,-SUM(Engangsudgifter[Udgift]),0))</f>
        <v>.</v>
      </c>
      <c r="AR72" s="245" t="str">
        <f>IFERROR(IF(Tidstabel[[#This Row],[År]]&gt;Input_Tidshorisont,BlankTegn,
IF(Tidstabel[[#This Row],[År]]=0,Tidstabel[[#This Row],[KF_Engangsudgifter]],AR71+Tidstabel[[#This Row],[KF_Engangsudgifter]])),BlankTegn)</f>
        <v>.</v>
      </c>
      <c r="AS72" s="315" t="str">
        <f>IFERROR(IF(Tidstabel[[#This Row],[År]]&gt;Input_Tidshorisont,BlankTegn,
-Energibesparelse_Årlig),BlankTegn)</f>
        <v>.</v>
      </c>
      <c r="AT72" s="245" t="str">
        <f>IFERROR(IF(Tidstabel[[#This Row],[År]]&gt;Input_Tidshorisont,BlankTegn,
IF(Tidstabel[[#This Row],[År]]=0,0,-Tidstabel[[#This Row],[KF_Energiforbrug]]*Input_Fjernvarmepris*((1+Tidstabel[[#This Row],[Kalkulationsrente]])^-Tidstabel[[#This Row],[År]])*((1+PrisudviklingFjernvarme)^Tidstabel[[#This Row],[År]]))),BlankTegn)</f>
        <v>.</v>
      </c>
      <c r="AU72" s="262" t="str">
        <f>IFERROR(IF(Tidstabel[[#This Row],[År]]&gt;Input_Tidshorisont,BlankTegn,
IF(Tidstabel[[#This Row],[År]]=0,Tidstabel[[#This Row],[KF_Forsyning]],AU71+Tidstabel[[#This Row],[KF_Forsyning]])),BlankTegn)</f>
        <v>.</v>
      </c>
      <c r="AV72" s="245" t="str">
        <f>IFERROR(IF(Tidstabel[[#This Row],[År]]&gt;Input_Tidshorisont,BlankTegn,
IF(Tidstabel[[#This Row],[År]]=0,-FB_Enhedspris,0)),BlankTegn)</f>
        <v>.</v>
      </c>
      <c r="AW72" s="245" t="str">
        <f>IFERROR(IF(Tidstabel[[#This Row],[År]]&gt;Input_Tidshorisont,BlankTegn,
IF(Tidstabel[[#This Row],[År]]=0,FB_Enhedspris/FB_Levetid,AW71*((1+Tidstabel[[#This Row],[Kalkulationsrente]])^-1)*((1+PrisudviklingGenerelt)^1))),BlankTegn)</f>
        <v>.</v>
      </c>
      <c r="AX72" s="178" t="str">
        <f ca="1">IFERROR(IF(Tidstabel[[#This Row],[År]]&gt;Input_Tidshorisont,BlankTegn,
IF(FB_Vedligehold_i=1,IF(Tidstabel[[#This Row],[FB_Uds?]]=0,1,0),IF(MAX(AX71:OFFSET(AY71,2-FB_Vedligehold_i,0),Tidstabel[[#This Row],[FB_Uds?]])=0,1,0))),BlankTegn)</f>
        <v>.</v>
      </c>
      <c r="AY72" s="178" t="str">
        <f>IFERROR(IF(Tidstabel[[#This Row],[År]]&gt;Input_Tidshorisont,BlankTegn,
IF(Tidstabel[[#This Row],[År]]=0,1,IF(MOD(Tidstabel[[#This Row],[År]],FB_Levetid)=0,1,IF(Tidstabel[[#This Row],[År]]=Input_Tidshorisont,0,0)))),BlankTegn)</f>
        <v>.</v>
      </c>
      <c r="AZ72" s="245" t="str">
        <f>IFERROR(IF(Tidstabel[[#This Row],[År]]&gt;Input_Tidshorisont,BlankTegn,
FB_Vedligehold_p*-FB_Enhedspris*Tidstabel[[#This Row],[FB_Ved?]]*((1+Tidstabel[[#This Row],[Kalkulationsrente]])^-Tidstabel[[#This Row],[År]])*((1+PrisudviklingGenerelt)^Tidstabel[[#This Row],[År]])),BlankTegn)</f>
        <v>.</v>
      </c>
      <c r="BA72" s="245" t="str">
        <f>IFERROR(IF(Tidstabel[[#This Row],[År]]&gt;Input_Tidshorisont,BlankTegn,
IF(Tidstabel[[#This Row],[År]]=0,FB_Enhedspris,SUM(BA71:BB71)*((1+Tidstabel[[#This Row],[Kalkulationsrente]])^-1)*((1+PrisudviklingGenerelt)^1)-Tidstabel[[#This Row],[FB_Afskrivning]])),BlankTegn)</f>
        <v>.</v>
      </c>
      <c r="BB72" s="245" t="str">
        <f>IFERROR(IF(Tidstabel[[#This Row],[År]]&gt;Input_Tidshorisont,BlankTegn,
IF(Tidstabel[[#This Row],[År]]=0,0,Tidstabel[[#This Row],[FB_Uds?]]*FB_Enhedspris*((1+Tidstabel[[#This Row],[Kalkulationsrente]])^-Tidstabel[[#This Row],[År]])*((1+PrisudviklingGenerelt)^Tidstabel[[#This Row],[År]]))),BlankTegn)</f>
        <v>.</v>
      </c>
      <c r="BC72" s="262" t="str">
        <f>IFERROR(IF(Tidstabel[[#This Row],[År]]&gt;Input_Tidshorisont,BlankTegn,
IF(Tidstabel[[#This Row],[År]]=0,0,Tidstabel[[#This Row],[FB_Uds?]]*-FB_Enhedspris*FB_Genoprettelse*((1+Tidstabel[[#This Row],[Kalkulationsrente]])^-Tidstabel[[#This Row],[År]])*((1+PrisudviklingGenerelt)^Tidstabel[[#This Row],[År]]))),BlankTegn)</f>
        <v>.</v>
      </c>
      <c r="BD72" s="245" t="str">
        <f>IFERROR(IF(Tidstabel[[#This Row],[År]]&gt;Input_Tidshorisont,BlankTegn,
IF(Tidstabel[[#This Row],[År]]=0,-VS_Enhedspris,0)),BlankTegn)</f>
        <v>.</v>
      </c>
      <c r="BE72" s="245" t="str">
        <f>IFERROR(IF(Tidstabel[[#This Row],[År]]&gt;Input_Tidshorisont,BlankTegn,
IF(Tidstabel[[#This Row],[År]]=0,VS_Enhedspris/VS_Levetid,BE71*((1+Tidstabel[[#This Row],[Kalkulationsrente]])^-1)*((1+PrisudviklingGenerelt)^1))),BlankTegn)</f>
        <v>.</v>
      </c>
      <c r="BF72" s="178" t="str">
        <f ca="1">IFERROR(IF(Tidstabel[[#This Row],[År]]&gt;Input_Tidshorisont,BlankTegn,
IF(VS_Vedligehold_i=1,IF(Tidstabel[[#This Row],[VS_Uds?]]=0,1,0),IF(MAX(BF71:OFFSET(BG71,2-VS_Vedligehold_i,0),Tidstabel[[#This Row],[VS_Uds?]])=0,1,0))),BlankTegn)</f>
        <v>.</v>
      </c>
      <c r="BG72" s="178" t="str">
        <f>IFERROR(IF(Tidstabel[[#This Row],[År]]&gt;Input_Tidshorisont,BlankTegn,
IF(Tidstabel[[#This Row],[År]]=0,1,IF(MOD(Tidstabel[[#This Row],[År]],VS_Levetid)=0,1,IF(Tidstabel[[#This Row],[År]]=Input_Tidshorisont,0,0)))),BlankTegn)</f>
        <v>.</v>
      </c>
      <c r="BH72" s="245" t="str">
        <f>IFERROR(IF(Tidstabel[[#This Row],[År]]&gt;Input_Tidshorisont,BlankTegn,
VS_Vedligehold_p*-VS_Enhedspris*Tidstabel[[#This Row],[VS_Ved?]]*((1+Tidstabel[[#This Row],[Kalkulationsrente]])^-Tidstabel[[#This Row],[År]])*((1+PrisudviklingGenerelt)^Tidstabel[[#This Row],[År]])),BlankTegn)</f>
        <v>.</v>
      </c>
      <c r="BI72" s="245" t="str">
        <f>IFERROR(IF(Tidstabel[[#This Row],[År]]&gt;Input_Tidshorisont,BlankTegn,
IF(Tidstabel[[#This Row],[År]]=0,VS_Enhedspris,SUM(BI71:BJ71)*((1+Tidstabel[[#This Row],[Kalkulationsrente]])^-1)*((1+PrisudviklingGenerelt)^1)-Tidstabel[[#This Row],[VS_Afskrivning]])),BlankTegn)</f>
        <v>.</v>
      </c>
      <c r="BJ72" s="245" t="str">
        <f>IFERROR(IF(Tidstabel[[#This Row],[År]]&gt;Input_Tidshorisont,BlankTegn,
IF(Tidstabel[[#This Row],[År]]=0,0,Tidstabel[[#This Row],[VS_Uds?]]*VS_Enhedspris*((1+Tidstabel[[#This Row],[Kalkulationsrente]])^-Tidstabel[[#This Row],[År]])*((1+PrisudviklingGenerelt)^Tidstabel[[#This Row],[År]]))),BlankTegn)</f>
        <v>.</v>
      </c>
      <c r="BK72" s="262" t="str">
        <f>IFERROR(IF(Tidstabel[[#This Row],[År]]&gt;Input_Tidshorisont,BlankTegn,
IF(Tidstabel[[#This Row],[År]]=0,0,Tidstabel[[#This Row],[VS_Uds?]]*-VS_Enhedspris*VS_Genoprettelse*((1+Tidstabel[[#This Row],[Kalkulationsrente]])^-Tidstabel[[#This Row],[År]])*((1+PrisudviklingGenerelt)^Tidstabel[[#This Row],[År]]))),BlankTegn)</f>
        <v>.</v>
      </c>
      <c r="BL72" s="245" t="str">
        <f>IFERROR(IF(Tidstabel[[#This Row],[År]]&gt;Input_Tidshorisont,BlankTegn,
IF(Tidstabel[[#This Row],[År]]=0,-EI_Enhedspris,0)),BlankTegn)</f>
        <v>.</v>
      </c>
      <c r="BM72" s="245" t="str">
        <f>IFERROR(IF(Tidstabel[[#This Row],[År]]&gt;Input_Tidshorisont,BlankTegn,
IF(Tidstabel[[#This Row],[År]]=0,EI_Enhedspris/EI_Levetid,BM71*((1+Tidstabel[[#This Row],[Kalkulationsrente]])^-1)*((1+PrisudviklingGenerelt)^1))),BlankTegn)</f>
        <v>.</v>
      </c>
      <c r="BN72" s="178" t="str">
        <f ca="1">IFERROR(IF(Tidstabel[[#This Row],[År]]&gt;Input_Tidshorisont,BlankTegn,
IF(EI_Vedligehold_i=1,IF(Tidstabel[[#This Row],[EI_Uds?]]=0,1,0),IF(MAX(BN71:OFFSET(BO71,2-EI_Vedligehold_i,0),Tidstabel[[#This Row],[EI_Uds?]])=0,1,0))),BlankTegn)</f>
        <v>.</v>
      </c>
      <c r="BO72" s="178" t="str">
        <f>IFERROR(IF(Tidstabel[[#This Row],[År]]&gt;Input_Tidshorisont,BlankTegn,
IF(Tidstabel[[#This Row],[År]]=0,1,IF(MOD(Tidstabel[[#This Row],[År]],EI_Levetid)=0,1,IF(Tidstabel[[#This Row],[År]]=Input_Tidshorisont,0,0)))),BlankTegn)</f>
        <v>.</v>
      </c>
      <c r="BP72" s="245" t="str">
        <f>IFERROR(IF(Tidstabel[[#This Row],[År]]&gt;Input_Tidshorisont,BlankTegn,
EI_Vedligehold_p*-EI_Enhedspris*Tidstabel[[#This Row],[EI_Ved?]]*((1+Tidstabel[[#This Row],[Kalkulationsrente]])^-Tidstabel[[#This Row],[År]])*((1+PrisudviklingGenerelt)^Tidstabel[[#This Row],[År]])),BlankTegn)</f>
        <v>.</v>
      </c>
      <c r="BQ72" s="245" t="str">
        <f>IFERROR(IF(Tidstabel[[#This Row],[År]]&gt;Input_Tidshorisont,BlankTegn,
IF(Tidstabel[[#This Row],[År]]=0,EI_Enhedspris,SUM(BQ71:BR71)*((1+Tidstabel[[#This Row],[Kalkulationsrente]])^-1)*((1+PrisudviklingGenerelt)^1)-Tidstabel[[#This Row],[EI_Afskrivning]])),BlankTegn)</f>
        <v>.</v>
      </c>
      <c r="BR72" s="245" t="str">
        <f>IFERROR(IF(Tidstabel[[#This Row],[År]]&gt;Input_Tidshorisont,BlankTegn,
IF(Tidstabel[[#This Row],[År]]=0,0,Tidstabel[[#This Row],[EI_Uds?]]*EI_Enhedspris*((1+Tidstabel[[#This Row],[Kalkulationsrente]])^-Tidstabel[[#This Row],[År]])*((1+PrisudviklingGenerelt)^Tidstabel[[#This Row],[År]]))),BlankTegn)</f>
        <v>.</v>
      </c>
      <c r="BS72" s="262" t="str">
        <f>IFERROR(IF(Tidstabel[[#This Row],[År]]&gt;Input_Tidshorisont,BlankTegn,
IF(Tidstabel[[#This Row],[År]]=0,0,Tidstabel[[#This Row],[EI_Uds?]]*-EI_Enhedspris*EI_Genoprettelse*((1+Tidstabel[[#This Row],[Kalkulationsrente]])^-Tidstabel[[#This Row],[År]])*((1+PrisudviklingGenerelt)^Tidstabel[[#This Row],[År]]))),BlankTegn)</f>
        <v>.</v>
      </c>
      <c r="BT72" s="245" t="str">
        <f>IFERROR(IF(Tidstabel[[#This Row],[År]]&gt;Input_Tidshorisont,BlankTegn,
IF(Tidstabel[[#This Row],[År]]=0,-AP_Enhedspris,0)),BlankTegn)</f>
        <v>.</v>
      </c>
      <c r="BU72" s="245" t="str">
        <f>IFERROR(IF(Tidstabel[[#This Row],[År]]&gt;Input_Tidshorisont,BlankTegn,
IF(Tidstabel[[#This Row],[År]]=0,AP_Enhedspris/AP_Levetid,BU71*((1+Tidstabel[[#This Row],[Kalkulationsrente]])^-1)*((1+PrisudviklingGenerelt)^1))),BlankTegn)</f>
        <v>.</v>
      </c>
      <c r="BV72" s="178" t="str">
        <f ca="1">IFERROR(IF(Tidstabel[[#This Row],[År]]&gt;Input_Tidshorisont,BlankTegn,
IF(AP_Vedligehold_i=1,IF(Tidstabel[[#This Row],[AP_Uds?]]=0,1,0),IF(MAX(BV71:OFFSET(BW71,2-AP_Vedligehold_i,0),Tidstabel[[#This Row],[AP_Uds?]])=0,1,0))),BlankTegn)</f>
        <v>.</v>
      </c>
      <c r="BW72" s="178" t="str">
        <f>IFERROR(IF(Tidstabel[[#This Row],[År]]&gt;Input_Tidshorisont,BlankTegn,
IF(Tidstabel[[#This Row],[År]]=0,1,IF(MOD(Tidstabel[[#This Row],[År]],AP_Levetid)=0,1,IF(Tidstabel[[#This Row],[År]]=Input_Tidshorisont,0,0)))),BlankTegn)</f>
        <v>.</v>
      </c>
      <c r="BX72" s="245" t="str">
        <f>IFERROR(IF(Tidstabel[[#This Row],[År]]&gt;Input_Tidshorisont,BlankTegn,
AP_Vedligehold_p*-AP_Enhedspris*Tidstabel[[#This Row],[AP_Ved?]]*((1+Tidstabel[[#This Row],[Kalkulationsrente]])^-Tidstabel[[#This Row],[År]])*((1+PrisudviklingGenerelt)^Tidstabel[[#This Row],[År]])),BlankTegn)</f>
        <v>.</v>
      </c>
      <c r="BY72" s="245" t="str">
        <f>IFERROR(IF(Tidstabel[[#This Row],[År]]&gt;Input_Tidshorisont,BlankTegn,
IF(Tidstabel[[#This Row],[År]]=0,AP_Enhedspris,SUM(BY71:BZ71)*((1+Tidstabel[[#This Row],[Kalkulationsrente]])^-1)*((1+PrisudviklingGenerelt)^1)-Tidstabel[[#This Row],[AP_Afskrivning]])),BlankTegn)</f>
        <v>.</v>
      </c>
      <c r="BZ72" s="245" t="str">
        <f>IFERROR(IF(Tidstabel[[#This Row],[År]]&gt;Input_Tidshorisont,BlankTegn,
IF(Tidstabel[[#This Row],[År]]=0,0,Tidstabel[[#This Row],[AP_Uds?]]*AP_Enhedspris*((1+Tidstabel[[#This Row],[Kalkulationsrente]])^-Tidstabel[[#This Row],[År]])*((1+PrisudviklingGenerelt)^Tidstabel[[#This Row],[År]]))),BlankTegn)</f>
        <v>.</v>
      </c>
      <c r="CA72" s="262" t="str">
        <f>IFERROR(IF(Tidstabel[[#This Row],[År]]&gt;Input_Tidshorisont,BlankTegn,
IF(Tidstabel[[#This Row],[År]]=0,0,Tidstabel[[#This Row],[AP_Uds?]]*-AP_Enhedspris*AP_Genoprettelse*((1+Tidstabel[[#This Row],[Kalkulationsrente]])^-Tidstabel[[#This Row],[År]])*((1+PrisudviklingGenerelt)^Tidstabel[[#This Row],[År]]))),BlankTegn)</f>
        <v>.</v>
      </c>
      <c r="CB72" s="245" t="str">
        <f>IFERROR(IF(Tidstabel[[#This Row],[År]]&gt;Input_Tidshorisont,BlankTegn,
IF(Tidstabel[[#This Row],[År]]=0,-SK_Enhedspris,0)),BlankTegn)</f>
        <v>.</v>
      </c>
      <c r="CC72" s="245" t="str">
        <f>IFERROR(IF(Tidstabel[[#This Row],[År]]&gt;Input_Tidshorisont,BlankTegn,
IF(Tidstabel[[#This Row],[År]]=0,SK_Enhedspris/SK_Levetid,CC71*((1+Tidstabel[[#This Row],[Kalkulationsrente]])^-1)*((1+PrisudviklingGenerelt)^1))),BlankTegn)</f>
        <v>.</v>
      </c>
      <c r="CD72" s="178" t="str">
        <f ca="1">IFERROR(IF(Tidstabel[[#This Row],[År]]&gt;Input_Tidshorisont,BlankTegn,
IF(SK_Vedligehold_i=1,IF(Tidstabel[[#This Row],[SK_Uds?]]=0,1,0),IF(MAX(CD71:OFFSET(CE71,2-SK_Vedligehold_i,0),Tidstabel[[#This Row],[SK_Uds?]])=0,1,0))),BlankTegn)</f>
        <v>.</v>
      </c>
      <c r="CE72" s="178" t="str">
        <f>IFERROR(IF(Tidstabel[[#This Row],[År]]&gt;Input_Tidshorisont,BlankTegn,
IF(Tidstabel[[#This Row],[År]]=0,1,IF(MOD(Tidstabel[[#This Row],[År]],SK_Levetid)=0,1,IF(Tidstabel[[#This Row],[År]]=Input_Tidshorisont,0,0)))),BlankTegn)</f>
        <v>.</v>
      </c>
      <c r="CF72" s="245" t="str">
        <f>IFERROR(IF(Tidstabel[[#This Row],[År]]&gt;Input_Tidshorisont,BlankTegn,
SK_Vedligehold_p*-SK_Enhedspris*Tidstabel[[#This Row],[SK_Ved?]]*((1+Tidstabel[[#This Row],[Kalkulationsrente]])^-Tidstabel[[#This Row],[År]])*((1+PrisudviklingGenerelt)^Tidstabel[[#This Row],[År]])),BlankTegn)</f>
        <v>.</v>
      </c>
      <c r="CG72" s="245" t="str">
        <f>IFERROR(IF(Tidstabel[[#This Row],[År]]&gt;Input_Tidshorisont,BlankTegn,
IF(Tidstabel[[#This Row],[År]]=0,SK_Enhedspris,SUM(CG71:CH71)*((1+Tidstabel[[#This Row],[Kalkulationsrente]])^-1)*((1+PrisudviklingGenerelt)^1)-Tidstabel[[#This Row],[SK_Afskrivning]])),BlankTegn)</f>
        <v>.</v>
      </c>
      <c r="CH72" s="245" t="str">
        <f>IFERROR(IF(Tidstabel[[#This Row],[År]]&gt;Input_Tidshorisont,BlankTegn,
IF(Tidstabel[[#This Row],[År]]=0,0,Tidstabel[[#This Row],[SK_Uds?]]*SK_Enhedspris*((1+Tidstabel[[#This Row],[Kalkulationsrente]])^-Tidstabel[[#This Row],[År]])*((1+PrisudviklingGenerelt)^Tidstabel[[#This Row],[År]]))),BlankTegn)</f>
        <v>.</v>
      </c>
      <c r="CI72" s="262" t="str">
        <f>IFERROR(IF(Tidstabel[[#This Row],[År]]&gt;Input_Tidshorisont,BlankTegn,
IF(Tidstabel[[#This Row],[År]]=0,0,Tidstabel[[#This Row],[SK_Uds?]]*-SK_Enhedspris*SK_Genoprettelse*((1+Tidstabel[[#This Row],[Kalkulationsrente]])^-Tidstabel[[#This Row],[År]])*((1+PrisudviklingGenerelt)^Tidstabel[[#This Row],[År]]))),BlankTegn)</f>
        <v>.</v>
      </c>
      <c r="CJ72" s="19"/>
    </row>
    <row r="73" spans="1:88">
      <c r="A73" s="250">
        <v>66</v>
      </c>
      <c r="B73" s="250">
        <f>Input_Etableringsår+Tidstabel[[#This Row],[År]]</f>
        <v>2090</v>
      </c>
      <c r="C73" s="274" cm="1">
        <f t="array" ref="C73">_xlfn.IFS(Tidstabel[[#This Row],[År]]&gt;KR_Trin3_Tærskel,KR_Trin3_Rente,Tidstabel[[#This Row],[År]]&gt;KR_Trin2_Tærskel,KR_Trin2_Rente,Tidstabel[[#This Row],[År]]&gt;KR_Trin1_Tærskel,KR_Trin1_Rente,Tidstabel[[#This Row],[År]]&gt;KR_Trin0_Tærskel,KR_Trin0_Rente)</f>
        <v>2.5000000000000001E-2</v>
      </c>
      <c r="D73" s="142" t="str" cm="1">
        <f t="array" ref="D73">IFERROR(
INDEX(Range_Materiale_ÅrligeEmissioner,MATCH(1,(Materialedata[Komponent]=FB_Titel)*(Materialedata[Materiale]=FB_Materiale),0),MATCH(Tidstabel[[#This Row],[År]],Range_Materiale_År,0)),BlankTegn)</f>
        <v>.</v>
      </c>
      <c r="E73" s="142" t="str" cm="1">
        <f t="array" ref="E73">IFERROR(
INDEX(Range_Materiale_ÅrligeEmissioner,MATCH(1,(Materialedata[Komponent]=SK_Titel)*(Materialedata[Materiale]=SK_Materiale),0),MATCH(Tidstabel[[#This Row],[År]],Range_Materiale_År,0)),BlankTegn)</f>
        <v>.</v>
      </c>
      <c r="F73" s="142" t="str" cm="1">
        <f t="array" ref="F73">IFERROR(
INDEX(Range_Materiale_ÅrligeEmissioner,MATCH(1,(Materialedata[Komponent]=EI_Titel)*(Materialedata[Materiale]=EI_Materiale),0),MATCH(Tidstabel[[#This Row],[År]],Range_Materiale_År,0)),BlankTegn)</f>
        <v>.</v>
      </c>
      <c r="G73" s="142" t="str" cm="1">
        <f t="array" ref="G73">IFERROR(
INDEX(Range_Materiale_ÅrligeEmissioner,MATCH(1,(Materialedata[Komponent]=AP_Titel)*(Materialedata[Materiale]=AP_Materiale),0),MATCH(Tidstabel[[#This Row],[År]],Range_Materiale_År,0)),BlankTegn)</f>
        <v>.</v>
      </c>
      <c r="H73" s="142" t="str" cm="1">
        <f t="array" ref="H73">IFERROR(
INDEX(Range_Materiale_ÅrligeEmissioner,MATCH(1,(Materialedata[Komponent]=VS_Titel)*(Materialedata[Materiale]=VS_Materiale),0),MATCH(Tidstabel[[#This Row],[År]],Range_Materiale_År,0)),BlankTegn)</f>
        <v>.</v>
      </c>
      <c r="I73" s="142" t="str">
        <f>IFERROR(
IF(SUM(Tidstabel[[#This Row],[Facadebeklædning]:[Vindspærre]])=0,BlankTegn,
SUM(Tidstabel[[#This Row],[Facadebeklædning]:[Vindspærre]])),BlankTegn)</f>
        <v>.</v>
      </c>
      <c r="J73" s="139" t="str">
        <f>IF(Tidstabel[[#This Row],[År]]&gt;Input_Tidshorisont,BlankTegn,
A5_ElVarmeBrændstofByggeplads)</f>
        <v>.</v>
      </c>
      <c r="K73" s="142" t="str">
        <f>IFERROR(IF(Tidstabel[[#This Row],[År]]&gt;Input_Tidshorisont,BlankTegn,
-1*INDEX(Range_Energi_ÅrligBesparelse,MATCH(Input_EksisterendeFacade,Energiberegning[Ydervæg],0),MATCH(Tidstabel[[#This Row],[Årstal]],Range_Energi_Årstal,0))),BlankTegn)</f>
        <v>.</v>
      </c>
      <c r="L73" s="142" t="str">
        <f>IF(Tidstabel[[#This Row],[År]]&gt;Input_Tidshorisont,BlankTegn,
(Tidstabel[[#This Row],[År]]+1)*(SUM(Vedligeholdelsesmaterialer[Facadefarve],Vedligeholdelsesmaterialer[Grunder og mellemmaling])/12+SUM(Vedligeholdelsesmaterialer[Puds])/30))</f>
        <v>.</v>
      </c>
      <c r="M73" s="142" t="str">
        <f>IFERROR(IF(Tidstabel[[#This Row],[År]]&gt;Input_Tidshorisont,BlankTegn,
Tidstabel[[#This Row],[Materialer_Total]]+Tidstabel[[#This Row],[Byggeprocess]]),BlankTegn)</f>
        <v>.</v>
      </c>
      <c r="N73" s="142" t="str">
        <f>IFERROR(IF(Tidstabel[[#This Row],[År]]&gt;Input_Tidshorisont,BlankTegn,
Tidstabel[[#This Row],[Energibesparelse]]+Tidstabel[[#This Row],[Emission_Brutto]]),BlankTegn)</f>
        <v>.</v>
      </c>
      <c r="O73" s="142" t="str">
        <f>IFERROR(IF(Tidstabel[[#This Row],[År]]&gt;Input_Tidshorisont,BlankTegn,
Tidstabel[[#This Row],[Emission_Netto]]-Tidstabel[[#This Row],[Vedligehold_EksisterendeFacade]]),BlankTegn)</f>
        <v>.</v>
      </c>
      <c r="P73" s="271" t="str">
        <f>IFERROR(IF(Tidstabel[[#This Row],[År]]&gt;Input_Tidshorisont,BlankTegn,
IF(AND(Tidstabel[[#This Row],[Emission_Netto]]-Tidstabel[[#This Row],[Vedligehold_EksisterendeFacade]]&gt;0,N74-L74&lt;0),-1,IF(AND(Tidstabel[[#This Row],[Emission_Netto]]-Tidstabel[[#This Row],[Vedligehold_EksisterendeFacade]]&lt;0,N74-L74&gt;0),1,0))),BlankTegn)</f>
        <v>.</v>
      </c>
      <c r="Q73" s="174" t="str">
        <f>IF(Tidstabel[[#This Row],[År]]&gt;Input_Tidshorisont,BlankTegn,
IF(Tidstabel[[#This Row],[LCA-Skæring]]=-1,SUM(Tidstabel[[#This Row],[År]]*(1-ABS(Tidstabel[[#This Row],[LCA-Difference]])/(ABS(Tidstabel[[#This Row],[LCA-Difference]])+ABS(O74))),A74*(1-ABS(O74)/(ABS(Tidstabel[[#This Row],[LCA-Difference]])+ABS(O74)))),"-"))</f>
        <v>.</v>
      </c>
      <c r="R73" s="174" t="str">
        <f>IF(Tidstabel[[#This Row],[År]]&gt;Input_Tidshorisont,BlankTegn,
IF(Tidstabel[[#This Row],[LCA-Skæring]]=-1,SUM(Tidstabel[[#This Row],[Emission_Netto]]*(1-ABS(Tidstabel[[#This Row],[LCA-Difference]])/(ABS(Tidstabel[[#This Row],[LCA-Difference]])+ABS(O74))),N74*(1-ABS(O74)/(ABS(Tidstabel[[#This Row],[LCA-Difference]])+ABS(O74)))),"-"))</f>
        <v>.</v>
      </c>
      <c r="S73" s="174" t="str">
        <f>IF(Tidstabel[[#This Row],[År]]&gt;Input_Tidshorisont,BlankTegn,
IF(Tidstabel[[#This Row],[LCA-Skæring]]=1,SUM(Tidstabel[[#This Row],[År]]*(1-ABS(Tidstabel[[#This Row],[LCA-Difference]])/(ABS(Tidstabel[[#This Row],[LCA-Difference]])+ABS(O74))),A74*(1-ABS(O74)/(ABS(Tidstabel[[#This Row],[LCA-Difference]])+ABS(O74)))),"-"))</f>
        <v>.</v>
      </c>
      <c r="T73" s="264" t="str">
        <f>IF(Tidstabel[[#This Row],[År]]&gt;Input_Tidshorisont,BlankTegn,
IF(Tidstabel[[#This Row],[LCA-Skæring]]=1,SUM(Tidstabel[[#This Row],[Emission_Netto]]*(1-ABS(Tidstabel[[#This Row],[LCA-Difference]])/(ABS(Tidstabel[[#This Row],[LCA-Difference]])+ABS(O74))),N74*(1-ABS(O74)/(ABS(Tidstabel[[#This Row],[LCA-Difference]])+ABS(O74)))),"-"))</f>
        <v>.</v>
      </c>
      <c r="U73" s="142" t="str">
        <f>IFERROR(IF(Tidstabel[[#This Row],[År]]&gt;Input_Tidshorisont,BlankTegn,
Tidstabel[[#This Row],[NPV_Klimafacade]]-Tidstabel[[#This Row],[NPV_Eksisterende]]),BlankTegn)</f>
        <v>.</v>
      </c>
      <c r="V73" s="271" t="str">
        <f>IFERROR(IF(Tidstabel[[#This Row],[År]]&gt;Input_Tidshorisont,BlankTegn,
IF(AND(Tidstabel[[#This Row],[NPV_Klimafacade]]-Tidstabel[[#This Row],[NPV_Eksisterende]]&gt;0,AB74-AA74&lt;0),1,IF(AND(Tidstabel[[#This Row],[NPV_Klimafacade]]-Tidstabel[[#This Row],[NPV_Eksisterende]]&lt;0,AB74-AA74&gt;0),-1,0))),BlankTegn)</f>
        <v>.</v>
      </c>
      <c r="W73" s="174" t="str">
        <f>IF(Tidstabel[[#This Row],[År]]&gt;Input_Tidshorisont,BlankTegn,
IF(Tidstabel[[#This Row],[LCC-Skæring]]=-1,SUM(Tidstabel[[#This Row],[År]]*(1-ABS(Tidstabel[[#This Row],[LCC-Difference]])/(ABS(Tidstabel[[#This Row],[LCC-Difference]])+ABS(U74))),A74*(1-ABS(U74)/(ABS(Tidstabel[[#This Row],[LCC-Difference]])+ABS(U74)))),"-"))</f>
        <v>.</v>
      </c>
      <c r="X73" s="174" t="str">
        <f>IF(Tidstabel[[#This Row],[År]]&gt;Input_Tidshorisont,BlankTegn,
IF(Tidstabel[[#This Row],[LCC-Skæring]]=-1,SUM(Tidstabel[[#This Row],[NPV_Klimafacade]]*(1-ABS(Tidstabel[[#This Row],[LCC-Difference]])/(ABS(Tidstabel[[#This Row],[LCC-Difference]])+ABS(U74))),AB74*(1-ABS(U74)/(ABS(Tidstabel[[#This Row],[LCC-Difference]])+ABS(U74)))),"-"))</f>
        <v>.</v>
      </c>
      <c r="Y73" s="174" t="str">
        <f>IF(Tidstabel[[#This Row],[År]]&gt;Input_Tidshorisont,BlankTegn,
IF(Tidstabel[[#This Row],[LCC-Skæring]]=1,SUM(Tidstabel[[#This Row],[År]]*(1-ABS(Tidstabel[[#This Row],[LCC-Difference]])/(ABS(Tidstabel[[#This Row],[LCC-Difference]])+ABS(U74))),A74*(1-ABS(U74)/(ABS(Tidstabel[[#This Row],[LCC-Difference]])+ABS(U74)))),"-"))</f>
        <v>.</v>
      </c>
      <c r="Z73" s="264" t="str">
        <f>IF(Tidstabel[[#This Row],[År]]&gt;Input_Tidshorisont,BlankTegn,
IF(Tidstabel[[#This Row],[LCC-Skæring]]=1,SUM(Tidstabel[[#This Row],[NPV_Klimafacade]]*(1-ABS(Tidstabel[[#This Row],[LCC-Difference]])/(ABS(Tidstabel[[#This Row],[LCC-Difference]])+ABS(U74))),AB74*(1-ABS(U74)/(ABS(Tidstabel[[#This Row],[LCC-Difference]])+ABS(U74)))),"-"))</f>
        <v>.</v>
      </c>
      <c r="AA73" s="142" t="str">
        <f>IF(Tidstabel[[#This Row],[År]]&gt;Input_Tidshorisont,BlankTegn,
Tidstabel[[#This Row],[EF_Vedligehold_Aggregeret]])</f>
        <v>.</v>
      </c>
      <c r="AB73"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3" s="142" t="str">
        <f>IFERROR(IF(Tidstabel[[#This Row],[År]]&gt;Input_Tidshorisont,BlankTegn,
Tidstabel[[#This Row],[KF_Anskaffelse_Aggregeret]]+Tidstabel[[#This Row],[KF_Engangsudgifter_Aggregeret]]),BlankTegn)</f>
        <v>.</v>
      </c>
      <c r="AD73" s="174" t="str">
        <f>IFERROR(IF(Tidstabel[[#This Row],[År]]&gt;Input_Tidshorisont,BlankTegn,
IF(Tidstabel[[#This Row],[År]]=0,0,Tidstabel[[#This Row],[NPV_Eksisterende]]*(Tidstabel[[#This Row],[Kalkulationsrente]]/(1-(1+Tidstabel[[#This Row],[Kalkulationsrente]])^-Tidstabel[[#This Row],[År]])))),BlankTegn)</f>
        <v>.</v>
      </c>
      <c r="AE73" s="264" t="str">
        <f>IFERROR(IF(Tidstabel[[#This Row],[År]]&gt;Input_Tidshorisont,BlankTegn,
IF(Tidstabel[[#This Row],[År]]=0,0,Tidstabel[[#This Row],[NPV_Klimafacade]]*(Tidstabel[[#This Row],[Kalkulationsrente]]/(1-(1+Tidstabel[[#This Row],[Kalkulationsrente]])^-Tidstabel[[#This Row],[År]])))),BlankTegn)</f>
        <v>.</v>
      </c>
      <c r="AF73" s="270" t="str">
        <f ca="1">IF(Tidstabel[[#This Row],[År]]&gt;Input_Tidshorisont,BlankTegn,
IF(EF_Vedligehold_i=1,IF(Tidstabel[[#This Row],[EF_Uds?]]=0,1,0),IF(MAX(AF72:OFFSET(AG72,2-EF_Vedligehold_i,0),Tidstabel[[#This Row],[EF_Uds?]])=0,1,0)))</f>
        <v>.</v>
      </c>
      <c r="AG73" s="181" t="str">
        <f>IF(Tidstabel[[#This Row],[År]]&gt;Input_Tidshorisont,BlankTegn,0)</f>
        <v>.</v>
      </c>
      <c r="AH73" s="263" t="str">
        <f>IF(Tidstabel[[#This Row],[År]]&gt;Input_Tidshorisont,BlankTegn,
Tidstabel[[#This Row],[EF_Ved?]]*EF_Vedligehold_p*-EF_Enhedspris*((1+Tidstabel[[#This Row],[Kalkulationsrente]])^-Tidstabel[[#This Row],[År]])*((1+PrisudviklingGenerelt)^Tidstabel[[#This Row],[År]]))</f>
        <v>.</v>
      </c>
      <c r="AI73" s="262" t="str">
        <f>IF(Tidstabel[[#This Row],[År]]&gt;Input_Tidshorisont,BlankTegn,
IF(Tidstabel[[#This Row],[År]]=0,Tidstabel[[#This Row],[EF_Vedligehold]],AI72+Tidstabel[[#This Row],[EF_Vedligehold]]))</f>
        <v>.</v>
      </c>
      <c r="AJ73" s="245" t="str">
        <f>IFERROR(IF(Tidstabel[[#This Row],[År]]&gt;Input_Tidshorisont,BlankTegn,
Tidstabel[[#This Row],[FB_Anskaffelse]]+Tidstabel[[#This Row],[VS_Anskaffelse]]+Tidstabel[[#This Row],[EI_Anskaffelse]]+Tidstabel[[#This Row],[AP_Anskaffelse]]+Tidstabel[[#This Row],[SK_Anskaffelse]]),BlankTegn)</f>
        <v>.</v>
      </c>
      <c r="AK73" s="245" t="str">
        <f>IFERROR(IF(Tidstabel[[#This Row],[År]]&gt;Input_Tidshorisont,BlankTegn,
IF(Tidstabel[[#This Row],[År]]=0,Tidstabel[[#This Row],[KF_Anskaffelse]],AK72+Tidstabel[[#This Row],[KF_Anskaffelse]])),BlankTegn)</f>
        <v>.</v>
      </c>
      <c r="AL73" s="246" t="str">
        <f>IFERROR(IF(Tidstabel[[#This Row],[År]]&gt;Input_Tidshorisont,BlankTegn,
Tidstabel[[#This Row],[FB_Vedligehold]]+Tidstabel[[#This Row],[VS_Vedligehold]]+Tidstabel[[#This Row],[EI_Vedligehold]]+Tidstabel[[#This Row],[AP_Vedligehold]]+Tidstabel[[#This Row],[SK_Vedligehold]]),BlankTegn)</f>
        <v>.</v>
      </c>
      <c r="AM73" s="245" t="str">
        <f>IFERROR(IF(Tidstabel[[#This Row],[År]]&gt;Input_Tidshorisont,BlankTegn,
IF(Tidstabel[[#This Row],[År]]=0,Tidstabel[[#This Row],[KF_Vedligehold]],AM72+Tidstabel[[#This Row],[KF_Vedligehold]])),BlankTegn)</f>
        <v>.</v>
      </c>
      <c r="AN73"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73"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73" s="245" t="str">
        <f>IFERROR(IF(Tidstabel[[#This Row],[År]]&gt;Input_Tidshorisont,BlankTegn,
IF(Tidstabel[[#This Row],[År]]=0,Tidstabel[[#This Row],[KF_Udskiftning_Komponent]],AP72+Tidstabel[[#This Row],[KF_Udskiftning_Komponent]])),BlankTegn)</f>
        <v>.</v>
      </c>
      <c r="AQ73" s="245" t="str">
        <f>IF(Tidstabel[[#This Row],[År]]&gt;Input_Tidshorisont,BlankTegn,
IF(Tidstabel[[#This Row],[År]]=0,-SUM(Engangsudgifter[Udgift]),0))</f>
        <v>.</v>
      </c>
      <c r="AR73" s="245" t="str">
        <f>IFERROR(IF(Tidstabel[[#This Row],[År]]&gt;Input_Tidshorisont,BlankTegn,
IF(Tidstabel[[#This Row],[År]]=0,Tidstabel[[#This Row],[KF_Engangsudgifter]],AR72+Tidstabel[[#This Row],[KF_Engangsudgifter]])),BlankTegn)</f>
        <v>.</v>
      </c>
      <c r="AS73" s="315" t="str">
        <f>IFERROR(IF(Tidstabel[[#This Row],[År]]&gt;Input_Tidshorisont,BlankTegn,
-Energibesparelse_Årlig),BlankTegn)</f>
        <v>.</v>
      </c>
      <c r="AT73" s="245" t="str">
        <f>IFERROR(IF(Tidstabel[[#This Row],[År]]&gt;Input_Tidshorisont,BlankTegn,
IF(Tidstabel[[#This Row],[År]]=0,0,-Tidstabel[[#This Row],[KF_Energiforbrug]]*Input_Fjernvarmepris*((1+Tidstabel[[#This Row],[Kalkulationsrente]])^-Tidstabel[[#This Row],[År]])*((1+PrisudviklingFjernvarme)^Tidstabel[[#This Row],[År]]))),BlankTegn)</f>
        <v>.</v>
      </c>
      <c r="AU73" s="262" t="str">
        <f>IFERROR(IF(Tidstabel[[#This Row],[År]]&gt;Input_Tidshorisont,BlankTegn,
IF(Tidstabel[[#This Row],[År]]=0,Tidstabel[[#This Row],[KF_Forsyning]],AU72+Tidstabel[[#This Row],[KF_Forsyning]])),BlankTegn)</f>
        <v>.</v>
      </c>
      <c r="AV73" s="245" t="str">
        <f>IFERROR(IF(Tidstabel[[#This Row],[År]]&gt;Input_Tidshorisont,BlankTegn,
IF(Tidstabel[[#This Row],[År]]=0,-FB_Enhedspris,0)),BlankTegn)</f>
        <v>.</v>
      </c>
      <c r="AW73" s="245" t="str">
        <f>IFERROR(IF(Tidstabel[[#This Row],[År]]&gt;Input_Tidshorisont,BlankTegn,
IF(Tidstabel[[#This Row],[År]]=0,FB_Enhedspris/FB_Levetid,AW72*((1+Tidstabel[[#This Row],[Kalkulationsrente]])^-1)*((1+PrisudviklingGenerelt)^1))),BlankTegn)</f>
        <v>.</v>
      </c>
      <c r="AX73" s="178" t="str">
        <f ca="1">IFERROR(IF(Tidstabel[[#This Row],[År]]&gt;Input_Tidshorisont,BlankTegn,
IF(FB_Vedligehold_i=1,IF(Tidstabel[[#This Row],[FB_Uds?]]=0,1,0),IF(MAX(AX72:OFFSET(AY72,2-FB_Vedligehold_i,0),Tidstabel[[#This Row],[FB_Uds?]])=0,1,0))),BlankTegn)</f>
        <v>.</v>
      </c>
      <c r="AY73" s="178" t="str">
        <f>IFERROR(IF(Tidstabel[[#This Row],[År]]&gt;Input_Tidshorisont,BlankTegn,
IF(Tidstabel[[#This Row],[År]]=0,1,IF(MOD(Tidstabel[[#This Row],[År]],FB_Levetid)=0,1,IF(Tidstabel[[#This Row],[År]]=Input_Tidshorisont,0,0)))),BlankTegn)</f>
        <v>.</v>
      </c>
      <c r="AZ73" s="245" t="str">
        <f>IFERROR(IF(Tidstabel[[#This Row],[År]]&gt;Input_Tidshorisont,BlankTegn,
FB_Vedligehold_p*-FB_Enhedspris*Tidstabel[[#This Row],[FB_Ved?]]*((1+Tidstabel[[#This Row],[Kalkulationsrente]])^-Tidstabel[[#This Row],[År]])*((1+PrisudviklingGenerelt)^Tidstabel[[#This Row],[År]])),BlankTegn)</f>
        <v>.</v>
      </c>
      <c r="BA73" s="245" t="str">
        <f>IFERROR(IF(Tidstabel[[#This Row],[År]]&gt;Input_Tidshorisont,BlankTegn,
IF(Tidstabel[[#This Row],[År]]=0,FB_Enhedspris,SUM(BA72:BB72)*((1+Tidstabel[[#This Row],[Kalkulationsrente]])^-1)*((1+PrisudviklingGenerelt)^1)-Tidstabel[[#This Row],[FB_Afskrivning]])),BlankTegn)</f>
        <v>.</v>
      </c>
      <c r="BB73" s="245" t="str">
        <f>IFERROR(IF(Tidstabel[[#This Row],[År]]&gt;Input_Tidshorisont,BlankTegn,
IF(Tidstabel[[#This Row],[År]]=0,0,Tidstabel[[#This Row],[FB_Uds?]]*FB_Enhedspris*((1+Tidstabel[[#This Row],[Kalkulationsrente]])^-Tidstabel[[#This Row],[År]])*((1+PrisudviklingGenerelt)^Tidstabel[[#This Row],[År]]))),BlankTegn)</f>
        <v>.</v>
      </c>
      <c r="BC73" s="262" t="str">
        <f>IFERROR(IF(Tidstabel[[#This Row],[År]]&gt;Input_Tidshorisont,BlankTegn,
IF(Tidstabel[[#This Row],[År]]=0,0,Tidstabel[[#This Row],[FB_Uds?]]*-FB_Enhedspris*FB_Genoprettelse*((1+Tidstabel[[#This Row],[Kalkulationsrente]])^-Tidstabel[[#This Row],[År]])*((1+PrisudviklingGenerelt)^Tidstabel[[#This Row],[År]]))),BlankTegn)</f>
        <v>.</v>
      </c>
      <c r="BD73" s="245" t="str">
        <f>IFERROR(IF(Tidstabel[[#This Row],[År]]&gt;Input_Tidshorisont,BlankTegn,
IF(Tidstabel[[#This Row],[År]]=0,-VS_Enhedspris,0)),BlankTegn)</f>
        <v>.</v>
      </c>
      <c r="BE73" s="245" t="str">
        <f>IFERROR(IF(Tidstabel[[#This Row],[År]]&gt;Input_Tidshorisont,BlankTegn,
IF(Tidstabel[[#This Row],[År]]=0,VS_Enhedspris/VS_Levetid,BE72*((1+Tidstabel[[#This Row],[Kalkulationsrente]])^-1)*((1+PrisudviklingGenerelt)^1))),BlankTegn)</f>
        <v>.</v>
      </c>
      <c r="BF73" s="178" t="str">
        <f ca="1">IFERROR(IF(Tidstabel[[#This Row],[År]]&gt;Input_Tidshorisont,BlankTegn,
IF(VS_Vedligehold_i=1,IF(Tidstabel[[#This Row],[VS_Uds?]]=0,1,0),IF(MAX(BF72:OFFSET(BG72,2-VS_Vedligehold_i,0),Tidstabel[[#This Row],[VS_Uds?]])=0,1,0))),BlankTegn)</f>
        <v>.</v>
      </c>
      <c r="BG73" s="178" t="str">
        <f>IFERROR(IF(Tidstabel[[#This Row],[År]]&gt;Input_Tidshorisont,BlankTegn,
IF(Tidstabel[[#This Row],[År]]=0,1,IF(MOD(Tidstabel[[#This Row],[År]],VS_Levetid)=0,1,IF(Tidstabel[[#This Row],[År]]=Input_Tidshorisont,0,0)))),BlankTegn)</f>
        <v>.</v>
      </c>
      <c r="BH73" s="245" t="str">
        <f>IFERROR(IF(Tidstabel[[#This Row],[År]]&gt;Input_Tidshorisont,BlankTegn,
VS_Vedligehold_p*-VS_Enhedspris*Tidstabel[[#This Row],[VS_Ved?]]*((1+Tidstabel[[#This Row],[Kalkulationsrente]])^-Tidstabel[[#This Row],[År]])*((1+PrisudviklingGenerelt)^Tidstabel[[#This Row],[År]])),BlankTegn)</f>
        <v>.</v>
      </c>
      <c r="BI73" s="245" t="str">
        <f>IFERROR(IF(Tidstabel[[#This Row],[År]]&gt;Input_Tidshorisont,BlankTegn,
IF(Tidstabel[[#This Row],[År]]=0,VS_Enhedspris,SUM(BI72:BJ72)*((1+Tidstabel[[#This Row],[Kalkulationsrente]])^-1)*((1+PrisudviklingGenerelt)^1)-Tidstabel[[#This Row],[VS_Afskrivning]])),BlankTegn)</f>
        <v>.</v>
      </c>
      <c r="BJ73" s="245" t="str">
        <f>IFERROR(IF(Tidstabel[[#This Row],[År]]&gt;Input_Tidshorisont,BlankTegn,
IF(Tidstabel[[#This Row],[År]]=0,0,Tidstabel[[#This Row],[VS_Uds?]]*VS_Enhedspris*((1+Tidstabel[[#This Row],[Kalkulationsrente]])^-Tidstabel[[#This Row],[År]])*((1+PrisudviklingGenerelt)^Tidstabel[[#This Row],[År]]))),BlankTegn)</f>
        <v>.</v>
      </c>
      <c r="BK73" s="262" t="str">
        <f>IFERROR(IF(Tidstabel[[#This Row],[År]]&gt;Input_Tidshorisont,BlankTegn,
IF(Tidstabel[[#This Row],[År]]=0,0,Tidstabel[[#This Row],[VS_Uds?]]*-VS_Enhedspris*VS_Genoprettelse*((1+Tidstabel[[#This Row],[Kalkulationsrente]])^-Tidstabel[[#This Row],[År]])*((1+PrisudviklingGenerelt)^Tidstabel[[#This Row],[År]]))),BlankTegn)</f>
        <v>.</v>
      </c>
      <c r="BL73" s="245" t="str">
        <f>IFERROR(IF(Tidstabel[[#This Row],[År]]&gt;Input_Tidshorisont,BlankTegn,
IF(Tidstabel[[#This Row],[År]]=0,-EI_Enhedspris,0)),BlankTegn)</f>
        <v>.</v>
      </c>
      <c r="BM73" s="245" t="str">
        <f>IFERROR(IF(Tidstabel[[#This Row],[År]]&gt;Input_Tidshorisont,BlankTegn,
IF(Tidstabel[[#This Row],[År]]=0,EI_Enhedspris/EI_Levetid,BM72*((1+Tidstabel[[#This Row],[Kalkulationsrente]])^-1)*((1+PrisudviklingGenerelt)^1))),BlankTegn)</f>
        <v>.</v>
      </c>
      <c r="BN73" s="178" t="str">
        <f ca="1">IFERROR(IF(Tidstabel[[#This Row],[År]]&gt;Input_Tidshorisont,BlankTegn,
IF(EI_Vedligehold_i=1,IF(Tidstabel[[#This Row],[EI_Uds?]]=0,1,0),IF(MAX(BN72:OFFSET(BO72,2-EI_Vedligehold_i,0),Tidstabel[[#This Row],[EI_Uds?]])=0,1,0))),BlankTegn)</f>
        <v>.</v>
      </c>
      <c r="BO73" s="178" t="str">
        <f>IFERROR(IF(Tidstabel[[#This Row],[År]]&gt;Input_Tidshorisont,BlankTegn,
IF(Tidstabel[[#This Row],[År]]=0,1,IF(MOD(Tidstabel[[#This Row],[År]],EI_Levetid)=0,1,IF(Tidstabel[[#This Row],[År]]=Input_Tidshorisont,0,0)))),BlankTegn)</f>
        <v>.</v>
      </c>
      <c r="BP73" s="245" t="str">
        <f>IFERROR(IF(Tidstabel[[#This Row],[År]]&gt;Input_Tidshorisont,BlankTegn,
EI_Vedligehold_p*-EI_Enhedspris*Tidstabel[[#This Row],[EI_Ved?]]*((1+Tidstabel[[#This Row],[Kalkulationsrente]])^-Tidstabel[[#This Row],[År]])*((1+PrisudviklingGenerelt)^Tidstabel[[#This Row],[År]])),BlankTegn)</f>
        <v>.</v>
      </c>
      <c r="BQ73" s="245" t="str">
        <f>IFERROR(IF(Tidstabel[[#This Row],[År]]&gt;Input_Tidshorisont,BlankTegn,
IF(Tidstabel[[#This Row],[År]]=0,EI_Enhedspris,SUM(BQ72:BR72)*((1+Tidstabel[[#This Row],[Kalkulationsrente]])^-1)*((1+PrisudviklingGenerelt)^1)-Tidstabel[[#This Row],[EI_Afskrivning]])),BlankTegn)</f>
        <v>.</v>
      </c>
      <c r="BR73" s="245" t="str">
        <f>IFERROR(IF(Tidstabel[[#This Row],[År]]&gt;Input_Tidshorisont,BlankTegn,
IF(Tidstabel[[#This Row],[År]]=0,0,Tidstabel[[#This Row],[EI_Uds?]]*EI_Enhedspris*((1+Tidstabel[[#This Row],[Kalkulationsrente]])^-Tidstabel[[#This Row],[År]])*((1+PrisudviklingGenerelt)^Tidstabel[[#This Row],[År]]))),BlankTegn)</f>
        <v>.</v>
      </c>
      <c r="BS73" s="262" t="str">
        <f>IFERROR(IF(Tidstabel[[#This Row],[År]]&gt;Input_Tidshorisont,BlankTegn,
IF(Tidstabel[[#This Row],[År]]=0,0,Tidstabel[[#This Row],[EI_Uds?]]*-EI_Enhedspris*EI_Genoprettelse*((1+Tidstabel[[#This Row],[Kalkulationsrente]])^-Tidstabel[[#This Row],[År]])*((1+PrisudviklingGenerelt)^Tidstabel[[#This Row],[År]]))),BlankTegn)</f>
        <v>.</v>
      </c>
      <c r="BT73" s="245" t="str">
        <f>IFERROR(IF(Tidstabel[[#This Row],[År]]&gt;Input_Tidshorisont,BlankTegn,
IF(Tidstabel[[#This Row],[År]]=0,-AP_Enhedspris,0)),BlankTegn)</f>
        <v>.</v>
      </c>
      <c r="BU73" s="245" t="str">
        <f>IFERROR(IF(Tidstabel[[#This Row],[År]]&gt;Input_Tidshorisont,BlankTegn,
IF(Tidstabel[[#This Row],[År]]=0,AP_Enhedspris/AP_Levetid,BU72*((1+Tidstabel[[#This Row],[Kalkulationsrente]])^-1)*((1+PrisudviklingGenerelt)^1))),BlankTegn)</f>
        <v>.</v>
      </c>
      <c r="BV73" s="178" t="str">
        <f ca="1">IFERROR(IF(Tidstabel[[#This Row],[År]]&gt;Input_Tidshorisont,BlankTegn,
IF(AP_Vedligehold_i=1,IF(Tidstabel[[#This Row],[AP_Uds?]]=0,1,0),IF(MAX(BV72:OFFSET(BW72,2-AP_Vedligehold_i,0),Tidstabel[[#This Row],[AP_Uds?]])=0,1,0))),BlankTegn)</f>
        <v>.</v>
      </c>
      <c r="BW73" s="178" t="str">
        <f>IFERROR(IF(Tidstabel[[#This Row],[År]]&gt;Input_Tidshorisont,BlankTegn,
IF(Tidstabel[[#This Row],[År]]=0,1,IF(MOD(Tidstabel[[#This Row],[År]],AP_Levetid)=0,1,IF(Tidstabel[[#This Row],[År]]=Input_Tidshorisont,0,0)))),BlankTegn)</f>
        <v>.</v>
      </c>
      <c r="BX73" s="245" t="str">
        <f>IFERROR(IF(Tidstabel[[#This Row],[År]]&gt;Input_Tidshorisont,BlankTegn,
AP_Vedligehold_p*-AP_Enhedspris*Tidstabel[[#This Row],[AP_Ved?]]*((1+Tidstabel[[#This Row],[Kalkulationsrente]])^-Tidstabel[[#This Row],[År]])*((1+PrisudviklingGenerelt)^Tidstabel[[#This Row],[År]])),BlankTegn)</f>
        <v>.</v>
      </c>
      <c r="BY73" s="245" t="str">
        <f>IFERROR(IF(Tidstabel[[#This Row],[År]]&gt;Input_Tidshorisont,BlankTegn,
IF(Tidstabel[[#This Row],[År]]=0,AP_Enhedspris,SUM(BY72:BZ72)*((1+Tidstabel[[#This Row],[Kalkulationsrente]])^-1)*((1+PrisudviklingGenerelt)^1)-Tidstabel[[#This Row],[AP_Afskrivning]])),BlankTegn)</f>
        <v>.</v>
      </c>
      <c r="BZ73" s="245" t="str">
        <f>IFERROR(IF(Tidstabel[[#This Row],[År]]&gt;Input_Tidshorisont,BlankTegn,
IF(Tidstabel[[#This Row],[År]]=0,0,Tidstabel[[#This Row],[AP_Uds?]]*AP_Enhedspris*((1+Tidstabel[[#This Row],[Kalkulationsrente]])^-Tidstabel[[#This Row],[År]])*((1+PrisudviklingGenerelt)^Tidstabel[[#This Row],[År]]))),BlankTegn)</f>
        <v>.</v>
      </c>
      <c r="CA73" s="262" t="str">
        <f>IFERROR(IF(Tidstabel[[#This Row],[År]]&gt;Input_Tidshorisont,BlankTegn,
IF(Tidstabel[[#This Row],[År]]=0,0,Tidstabel[[#This Row],[AP_Uds?]]*-AP_Enhedspris*AP_Genoprettelse*((1+Tidstabel[[#This Row],[Kalkulationsrente]])^-Tidstabel[[#This Row],[År]])*((1+PrisudviklingGenerelt)^Tidstabel[[#This Row],[År]]))),BlankTegn)</f>
        <v>.</v>
      </c>
      <c r="CB73" s="245" t="str">
        <f>IFERROR(IF(Tidstabel[[#This Row],[År]]&gt;Input_Tidshorisont,BlankTegn,
IF(Tidstabel[[#This Row],[År]]=0,-SK_Enhedspris,0)),BlankTegn)</f>
        <v>.</v>
      </c>
      <c r="CC73" s="245" t="str">
        <f>IFERROR(IF(Tidstabel[[#This Row],[År]]&gt;Input_Tidshorisont,BlankTegn,
IF(Tidstabel[[#This Row],[År]]=0,SK_Enhedspris/SK_Levetid,CC72*((1+Tidstabel[[#This Row],[Kalkulationsrente]])^-1)*((1+PrisudviklingGenerelt)^1))),BlankTegn)</f>
        <v>.</v>
      </c>
      <c r="CD73" s="178" t="str">
        <f ca="1">IFERROR(IF(Tidstabel[[#This Row],[År]]&gt;Input_Tidshorisont,BlankTegn,
IF(SK_Vedligehold_i=1,IF(Tidstabel[[#This Row],[SK_Uds?]]=0,1,0),IF(MAX(CD72:OFFSET(CE72,2-SK_Vedligehold_i,0),Tidstabel[[#This Row],[SK_Uds?]])=0,1,0))),BlankTegn)</f>
        <v>.</v>
      </c>
      <c r="CE73" s="178" t="str">
        <f>IFERROR(IF(Tidstabel[[#This Row],[År]]&gt;Input_Tidshorisont,BlankTegn,
IF(Tidstabel[[#This Row],[År]]=0,1,IF(MOD(Tidstabel[[#This Row],[År]],SK_Levetid)=0,1,IF(Tidstabel[[#This Row],[År]]=Input_Tidshorisont,0,0)))),BlankTegn)</f>
        <v>.</v>
      </c>
      <c r="CF73" s="245" t="str">
        <f>IFERROR(IF(Tidstabel[[#This Row],[År]]&gt;Input_Tidshorisont,BlankTegn,
SK_Vedligehold_p*-SK_Enhedspris*Tidstabel[[#This Row],[SK_Ved?]]*((1+Tidstabel[[#This Row],[Kalkulationsrente]])^-Tidstabel[[#This Row],[År]])*((1+PrisudviklingGenerelt)^Tidstabel[[#This Row],[År]])),BlankTegn)</f>
        <v>.</v>
      </c>
      <c r="CG73" s="245" t="str">
        <f>IFERROR(IF(Tidstabel[[#This Row],[År]]&gt;Input_Tidshorisont,BlankTegn,
IF(Tidstabel[[#This Row],[År]]=0,SK_Enhedspris,SUM(CG72:CH72)*((1+Tidstabel[[#This Row],[Kalkulationsrente]])^-1)*((1+PrisudviklingGenerelt)^1)-Tidstabel[[#This Row],[SK_Afskrivning]])),BlankTegn)</f>
        <v>.</v>
      </c>
      <c r="CH73" s="245" t="str">
        <f>IFERROR(IF(Tidstabel[[#This Row],[År]]&gt;Input_Tidshorisont,BlankTegn,
IF(Tidstabel[[#This Row],[År]]=0,0,Tidstabel[[#This Row],[SK_Uds?]]*SK_Enhedspris*((1+Tidstabel[[#This Row],[Kalkulationsrente]])^-Tidstabel[[#This Row],[År]])*((1+PrisudviklingGenerelt)^Tidstabel[[#This Row],[År]]))),BlankTegn)</f>
        <v>.</v>
      </c>
      <c r="CI73" s="262" t="str">
        <f>IFERROR(IF(Tidstabel[[#This Row],[År]]&gt;Input_Tidshorisont,BlankTegn,
IF(Tidstabel[[#This Row],[År]]=0,0,Tidstabel[[#This Row],[SK_Uds?]]*-SK_Enhedspris*SK_Genoprettelse*((1+Tidstabel[[#This Row],[Kalkulationsrente]])^-Tidstabel[[#This Row],[År]])*((1+PrisudviklingGenerelt)^Tidstabel[[#This Row],[År]]))),BlankTegn)</f>
        <v>.</v>
      </c>
      <c r="CJ73" s="19"/>
    </row>
    <row r="74" spans="1:88">
      <c r="A74" s="250">
        <v>67</v>
      </c>
      <c r="B74" s="250">
        <f>Input_Etableringsår+Tidstabel[[#This Row],[År]]</f>
        <v>2091</v>
      </c>
      <c r="C74" s="274" cm="1">
        <f t="array" ref="C74">_xlfn.IFS(Tidstabel[[#This Row],[År]]&gt;KR_Trin3_Tærskel,KR_Trin3_Rente,Tidstabel[[#This Row],[År]]&gt;KR_Trin2_Tærskel,KR_Trin2_Rente,Tidstabel[[#This Row],[År]]&gt;KR_Trin1_Tærskel,KR_Trin1_Rente,Tidstabel[[#This Row],[År]]&gt;KR_Trin0_Tærskel,KR_Trin0_Rente)</f>
        <v>2.5000000000000001E-2</v>
      </c>
      <c r="D74" s="142" t="str" cm="1">
        <f t="array" ref="D74">IFERROR(
INDEX(Range_Materiale_ÅrligeEmissioner,MATCH(1,(Materialedata[Komponent]=FB_Titel)*(Materialedata[Materiale]=FB_Materiale),0),MATCH(Tidstabel[[#This Row],[År]],Range_Materiale_År,0)),BlankTegn)</f>
        <v>.</v>
      </c>
      <c r="E74" s="142" t="str" cm="1">
        <f t="array" ref="E74">IFERROR(
INDEX(Range_Materiale_ÅrligeEmissioner,MATCH(1,(Materialedata[Komponent]=SK_Titel)*(Materialedata[Materiale]=SK_Materiale),0),MATCH(Tidstabel[[#This Row],[År]],Range_Materiale_År,0)),BlankTegn)</f>
        <v>.</v>
      </c>
      <c r="F74" s="142" t="str" cm="1">
        <f t="array" ref="F74">IFERROR(
INDEX(Range_Materiale_ÅrligeEmissioner,MATCH(1,(Materialedata[Komponent]=EI_Titel)*(Materialedata[Materiale]=EI_Materiale),0),MATCH(Tidstabel[[#This Row],[År]],Range_Materiale_År,0)),BlankTegn)</f>
        <v>.</v>
      </c>
      <c r="G74" s="142" t="str" cm="1">
        <f t="array" ref="G74">IFERROR(
INDEX(Range_Materiale_ÅrligeEmissioner,MATCH(1,(Materialedata[Komponent]=AP_Titel)*(Materialedata[Materiale]=AP_Materiale),0),MATCH(Tidstabel[[#This Row],[År]],Range_Materiale_År,0)),BlankTegn)</f>
        <v>.</v>
      </c>
      <c r="H74" s="142" t="str" cm="1">
        <f t="array" ref="H74">IFERROR(
INDEX(Range_Materiale_ÅrligeEmissioner,MATCH(1,(Materialedata[Komponent]=VS_Titel)*(Materialedata[Materiale]=VS_Materiale),0),MATCH(Tidstabel[[#This Row],[År]],Range_Materiale_År,0)),BlankTegn)</f>
        <v>.</v>
      </c>
      <c r="I74" s="142" t="str">
        <f>IFERROR(
IF(SUM(Tidstabel[[#This Row],[Facadebeklædning]:[Vindspærre]])=0,BlankTegn,
SUM(Tidstabel[[#This Row],[Facadebeklædning]:[Vindspærre]])),BlankTegn)</f>
        <v>.</v>
      </c>
      <c r="J74" s="139" t="str">
        <f>IF(Tidstabel[[#This Row],[År]]&gt;Input_Tidshorisont,BlankTegn,
A5_ElVarmeBrændstofByggeplads)</f>
        <v>.</v>
      </c>
      <c r="K74" s="142" t="str">
        <f>IFERROR(IF(Tidstabel[[#This Row],[År]]&gt;Input_Tidshorisont,BlankTegn,
-1*INDEX(Range_Energi_ÅrligBesparelse,MATCH(Input_EksisterendeFacade,Energiberegning[Ydervæg],0),MATCH(Tidstabel[[#This Row],[Årstal]],Range_Energi_Årstal,0))),BlankTegn)</f>
        <v>.</v>
      </c>
      <c r="L74" s="142" t="str">
        <f>IF(Tidstabel[[#This Row],[År]]&gt;Input_Tidshorisont,BlankTegn,
(Tidstabel[[#This Row],[År]]+1)*(SUM(Vedligeholdelsesmaterialer[Facadefarve],Vedligeholdelsesmaterialer[Grunder og mellemmaling])/12+SUM(Vedligeholdelsesmaterialer[Puds])/30))</f>
        <v>.</v>
      </c>
      <c r="M74" s="142" t="str">
        <f>IFERROR(IF(Tidstabel[[#This Row],[År]]&gt;Input_Tidshorisont,BlankTegn,
Tidstabel[[#This Row],[Materialer_Total]]+Tidstabel[[#This Row],[Byggeprocess]]),BlankTegn)</f>
        <v>.</v>
      </c>
      <c r="N74" s="142" t="str">
        <f>IFERROR(IF(Tidstabel[[#This Row],[År]]&gt;Input_Tidshorisont,BlankTegn,
Tidstabel[[#This Row],[Energibesparelse]]+Tidstabel[[#This Row],[Emission_Brutto]]),BlankTegn)</f>
        <v>.</v>
      </c>
      <c r="O74" s="142" t="str">
        <f>IFERROR(IF(Tidstabel[[#This Row],[År]]&gt;Input_Tidshorisont,BlankTegn,
Tidstabel[[#This Row],[Emission_Netto]]-Tidstabel[[#This Row],[Vedligehold_EksisterendeFacade]]),BlankTegn)</f>
        <v>.</v>
      </c>
      <c r="P74" s="271" t="str">
        <f>IFERROR(IF(Tidstabel[[#This Row],[År]]&gt;Input_Tidshorisont,BlankTegn,
IF(AND(Tidstabel[[#This Row],[Emission_Netto]]-Tidstabel[[#This Row],[Vedligehold_EksisterendeFacade]]&gt;0,N75-L75&lt;0),-1,IF(AND(Tidstabel[[#This Row],[Emission_Netto]]-Tidstabel[[#This Row],[Vedligehold_EksisterendeFacade]]&lt;0,N75-L75&gt;0),1,0))),BlankTegn)</f>
        <v>.</v>
      </c>
      <c r="Q74" s="174" t="str">
        <f>IF(Tidstabel[[#This Row],[År]]&gt;Input_Tidshorisont,BlankTegn,
IF(Tidstabel[[#This Row],[LCA-Skæring]]=-1,SUM(Tidstabel[[#This Row],[År]]*(1-ABS(Tidstabel[[#This Row],[LCA-Difference]])/(ABS(Tidstabel[[#This Row],[LCA-Difference]])+ABS(O75))),A75*(1-ABS(O75)/(ABS(Tidstabel[[#This Row],[LCA-Difference]])+ABS(O75)))),"-"))</f>
        <v>.</v>
      </c>
      <c r="R74" s="174" t="str">
        <f>IF(Tidstabel[[#This Row],[År]]&gt;Input_Tidshorisont,BlankTegn,
IF(Tidstabel[[#This Row],[LCA-Skæring]]=-1,SUM(Tidstabel[[#This Row],[Emission_Netto]]*(1-ABS(Tidstabel[[#This Row],[LCA-Difference]])/(ABS(Tidstabel[[#This Row],[LCA-Difference]])+ABS(O75))),N75*(1-ABS(O75)/(ABS(Tidstabel[[#This Row],[LCA-Difference]])+ABS(O75)))),"-"))</f>
        <v>.</v>
      </c>
      <c r="S74" s="174" t="str">
        <f>IF(Tidstabel[[#This Row],[År]]&gt;Input_Tidshorisont,BlankTegn,
IF(Tidstabel[[#This Row],[LCA-Skæring]]=1,SUM(Tidstabel[[#This Row],[År]]*(1-ABS(Tidstabel[[#This Row],[LCA-Difference]])/(ABS(Tidstabel[[#This Row],[LCA-Difference]])+ABS(O75))),A75*(1-ABS(O75)/(ABS(Tidstabel[[#This Row],[LCA-Difference]])+ABS(O75)))),"-"))</f>
        <v>.</v>
      </c>
      <c r="T74" s="264" t="str">
        <f>IF(Tidstabel[[#This Row],[År]]&gt;Input_Tidshorisont,BlankTegn,
IF(Tidstabel[[#This Row],[LCA-Skæring]]=1,SUM(Tidstabel[[#This Row],[Emission_Netto]]*(1-ABS(Tidstabel[[#This Row],[LCA-Difference]])/(ABS(Tidstabel[[#This Row],[LCA-Difference]])+ABS(O75))),N75*(1-ABS(O75)/(ABS(Tidstabel[[#This Row],[LCA-Difference]])+ABS(O75)))),"-"))</f>
        <v>.</v>
      </c>
      <c r="U74" s="142" t="str">
        <f>IFERROR(IF(Tidstabel[[#This Row],[År]]&gt;Input_Tidshorisont,BlankTegn,
Tidstabel[[#This Row],[NPV_Klimafacade]]-Tidstabel[[#This Row],[NPV_Eksisterende]]),BlankTegn)</f>
        <v>.</v>
      </c>
      <c r="V74" s="271" t="str">
        <f>IFERROR(IF(Tidstabel[[#This Row],[År]]&gt;Input_Tidshorisont,BlankTegn,
IF(AND(Tidstabel[[#This Row],[NPV_Klimafacade]]-Tidstabel[[#This Row],[NPV_Eksisterende]]&gt;0,AB75-AA75&lt;0),1,IF(AND(Tidstabel[[#This Row],[NPV_Klimafacade]]-Tidstabel[[#This Row],[NPV_Eksisterende]]&lt;0,AB75-AA75&gt;0),-1,0))),BlankTegn)</f>
        <v>.</v>
      </c>
      <c r="W74" s="174" t="str">
        <f>IF(Tidstabel[[#This Row],[År]]&gt;Input_Tidshorisont,BlankTegn,
IF(Tidstabel[[#This Row],[LCC-Skæring]]=-1,SUM(Tidstabel[[#This Row],[År]]*(1-ABS(Tidstabel[[#This Row],[LCC-Difference]])/(ABS(Tidstabel[[#This Row],[LCC-Difference]])+ABS(U75))),A75*(1-ABS(U75)/(ABS(Tidstabel[[#This Row],[LCC-Difference]])+ABS(U75)))),"-"))</f>
        <v>.</v>
      </c>
      <c r="X74" s="174" t="str">
        <f>IF(Tidstabel[[#This Row],[År]]&gt;Input_Tidshorisont,BlankTegn,
IF(Tidstabel[[#This Row],[LCC-Skæring]]=-1,SUM(Tidstabel[[#This Row],[NPV_Klimafacade]]*(1-ABS(Tidstabel[[#This Row],[LCC-Difference]])/(ABS(Tidstabel[[#This Row],[LCC-Difference]])+ABS(U75))),AB75*(1-ABS(U75)/(ABS(Tidstabel[[#This Row],[LCC-Difference]])+ABS(U75)))),"-"))</f>
        <v>.</v>
      </c>
      <c r="Y74" s="174" t="str">
        <f>IF(Tidstabel[[#This Row],[År]]&gt;Input_Tidshorisont,BlankTegn,
IF(Tidstabel[[#This Row],[LCC-Skæring]]=1,SUM(Tidstabel[[#This Row],[År]]*(1-ABS(Tidstabel[[#This Row],[LCC-Difference]])/(ABS(Tidstabel[[#This Row],[LCC-Difference]])+ABS(U75))),A75*(1-ABS(U75)/(ABS(Tidstabel[[#This Row],[LCC-Difference]])+ABS(U75)))),"-"))</f>
        <v>.</v>
      </c>
      <c r="Z74" s="264" t="str">
        <f>IF(Tidstabel[[#This Row],[År]]&gt;Input_Tidshorisont,BlankTegn,
IF(Tidstabel[[#This Row],[LCC-Skæring]]=1,SUM(Tidstabel[[#This Row],[NPV_Klimafacade]]*(1-ABS(Tidstabel[[#This Row],[LCC-Difference]])/(ABS(Tidstabel[[#This Row],[LCC-Difference]])+ABS(U75))),AB75*(1-ABS(U75)/(ABS(Tidstabel[[#This Row],[LCC-Difference]])+ABS(U75)))),"-"))</f>
        <v>.</v>
      </c>
      <c r="AA74" s="142" t="str">
        <f>IF(Tidstabel[[#This Row],[År]]&gt;Input_Tidshorisont,BlankTegn,
Tidstabel[[#This Row],[EF_Vedligehold_Aggregeret]])</f>
        <v>.</v>
      </c>
      <c r="AB74"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4" s="142" t="str">
        <f>IFERROR(IF(Tidstabel[[#This Row],[År]]&gt;Input_Tidshorisont,BlankTegn,
Tidstabel[[#This Row],[KF_Anskaffelse_Aggregeret]]+Tidstabel[[#This Row],[KF_Engangsudgifter_Aggregeret]]),BlankTegn)</f>
        <v>.</v>
      </c>
      <c r="AD74" s="174" t="str">
        <f>IFERROR(IF(Tidstabel[[#This Row],[År]]&gt;Input_Tidshorisont,BlankTegn,
IF(Tidstabel[[#This Row],[År]]=0,0,Tidstabel[[#This Row],[NPV_Eksisterende]]*(Tidstabel[[#This Row],[Kalkulationsrente]]/(1-(1+Tidstabel[[#This Row],[Kalkulationsrente]])^-Tidstabel[[#This Row],[År]])))),BlankTegn)</f>
        <v>.</v>
      </c>
      <c r="AE74" s="264" t="str">
        <f>IFERROR(IF(Tidstabel[[#This Row],[År]]&gt;Input_Tidshorisont,BlankTegn,
IF(Tidstabel[[#This Row],[År]]=0,0,Tidstabel[[#This Row],[NPV_Klimafacade]]*(Tidstabel[[#This Row],[Kalkulationsrente]]/(1-(1+Tidstabel[[#This Row],[Kalkulationsrente]])^-Tidstabel[[#This Row],[År]])))),BlankTegn)</f>
        <v>.</v>
      </c>
      <c r="AF74" s="270" t="str">
        <f ca="1">IF(Tidstabel[[#This Row],[År]]&gt;Input_Tidshorisont,BlankTegn,
IF(EF_Vedligehold_i=1,IF(Tidstabel[[#This Row],[EF_Uds?]]=0,1,0),IF(MAX(AF73:OFFSET(AG73,2-EF_Vedligehold_i,0),Tidstabel[[#This Row],[EF_Uds?]])=0,1,0)))</f>
        <v>.</v>
      </c>
      <c r="AG74" s="181" t="str">
        <f>IF(Tidstabel[[#This Row],[År]]&gt;Input_Tidshorisont,BlankTegn,0)</f>
        <v>.</v>
      </c>
      <c r="AH74" s="263" t="str">
        <f>IF(Tidstabel[[#This Row],[År]]&gt;Input_Tidshorisont,BlankTegn,
Tidstabel[[#This Row],[EF_Ved?]]*EF_Vedligehold_p*-EF_Enhedspris*((1+Tidstabel[[#This Row],[Kalkulationsrente]])^-Tidstabel[[#This Row],[År]])*((1+PrisudviklingGenerelt)^Tidstabel[[#This Row],[År]]))</f>
        <v>.</v>
      </c>
      <c r="AI74" s="262" t="str">
        <f>IF(Tidstabel[[#This Row],[År]]&gt;Input_Tidshorisont,BlankTegn,
IF(Tidstabel[[#This Row],[År]]=0,Tidstabel[[#This Row],[EF_Vedligehold]],AI73+Tidstabel[[#This Row],[EF_Vedligehold]]))</f>
        <v>.</v>
      </c>
      <c r="AJ74" s="245" t="str">
        <f>IFERROR(IF(Tidstabel[[#This Row],[År]]&gt;Input_Tidshorisont,BlankTegn,
Tidstabel[[#This Row],[FB_Anskaffelse]]+Tidstabel[[#This Row],[VS_Anskaffelse]]+Tidstabel[[#This Row],[EI_Anskaffelse]]+Tidstabel[[#This Row],[AP_Anskaffelse]]+Tidstabel[[#This Row],[SK_Anskaffelse]]),BlankTegn)</f>
        <v>.</v>
      </c>
      <c r="AK74" s="245" t="str">
        <f>IFERROR(IF(Tidstabel[[#This Row],[År]]&gt;Input_Tidshorisont,BlankTegn,
IF(Tidstabel[[#This Row],[År]]=0,Tidstabel[[#This Row],[KF_Anskaffelse]],AK73+Tidstabel[[#This Row],[KF_Anskaffelse]])),BlankTegn)</f>
        <v>.</v>
      </c>
      <c r="AL74" s="246" t="str">
        <f>IFERROR(IF(Tidstabel[[#This Row],[År]]&gt;Input_Tidshorisont,BlankTegn,
Tidstabel[[#This Row],[FB_Vedligehold]]+Tidstabel[[#This Row],[VS_Vedligehold]]+Tidstabel[[#This Row],[EI_Vedligehold]]+Tidstabel[[#This Row],[AP_Vedligehold]]+Tidstabel[[#This Row],[SK_Vedligehold]]),BlankTegn)</f>
        <v>.</v>
      </c>
      <c r="AM74" s="245" t="str">
        <f>IFERROR(IF(Tidstabel[[#This Row],[År]]&gt;Input_Tidshorisont,BlankTegn,
IF(Tidstabel[[#This Row],[År]]=0,Tidstabel[[#This Row],[KF_Vedligehold]],AM73+Tidstabel[[#This Row],[KF_Vedligehold]])),BlankTegn)</f>
        <v>.</v>
      </c>
      <c r="AN74"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74"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74" s="245" t="str">
        <f>IFERROR(IF(Tidstabel[[#This Row],[År]]&gt;Input_Tidshorisont,BlankTegn,
IF(Tidstabel[[#This Row],[År]]=0,Tidstabel[[#This Row],[KF_Udskiftning_Komponent]],AP73+Tidstabel[[#This Row],[KF_Udskiftning_Komponent]])),BlankTegn)</f>
        <v>.</v>
      </c>
      <c r="AQ74" s="245" t="str">
        <f>IF(Tidstabel[[#This Row],[År]]&gt;Input_Tidshorisont,BlankTegn,
IF(Tidstabel[[#This Row],[År]]=0,-SUM(Engangsudgifter[Udgift]),0))</f>
        <v>.</v>
      </c>
      <c r="AR74" s="245" t="str">
        <f>IFERROR(IF(Tidstabel[[#This Row],[År]]&gt;Input_Tidshorisont,BlankTegn,
IF(Tidstabel[[#This Row],[År]]=0,Tidstabel[[#This Row],[KF_Engangsudgifter]],AR73+Tidstabel[[#This Row],[KF_Engangsudgifter]])),BlankTegn)</f>
        <v>.</v>
      </c>
      <c r="AS74" s="315" t="str">
        <f>IFERROR(IF(Tidstabel[[#This Row],[År]]&gt;Input_Tidshorisont,BlankTegn,
-Energibesparelse_Årlig),BlankTegn)</f>
        <v>.</v>
      </c>
      <c r="AT74" s="245" t="str">
        <f>IFERROR(IF(Tidstabel[[#This Row],[År]]&gt;Input_Tidshorisont,BlankTegn,
IF(Tidstabel[[#This Row],[År]]=0,0,-Tidstabel[[#This Row],[KF_Energiforbrug]]*Input_Fjernvarmepris*((1+Tidstabel[[#This Row],[Kalkulationsrente]])^-Tidstabel[[#This Row],[År]])*((1+PrisudviklingFjernvarme)^Tidstabel[[#This Row],[År]]))),BlankTegn)</f>
        <v>.</v>
      </c>
      <c r="AU74" s="262" t="str">
        <f>IFERROR(IF(Tidstabel[[#This Row],[År]]&gt;Input_Tidshorisont,BlankTegn,
IF(Tidstabel[[#This Row],[År]]=0,Tidstabel[[#This Row],[KF_Forsyning]],AU73+Tidstabel[[#This Row],[KF_Forsyning]])),BlankTegn)</f>
        <v>.</v>
      </c>
      <c r="AV74" s="245" t="str">
        <f>IFERROR(IF(Tidstabel[[#This Row],[År]]&gt;Input_Tidshorisont,BlankTegn,
IF(Tidstabel[[#This Row],[År]]=0,-FB_Enhedspris,0)),BlankTegn)</f>
        <v>.</v>
      </c>
      <c r="AW74" s="245" t="str">
        <f>IFERROR(IF(Tidstabel[[#This Row],[År]]&gt;Input_Tidshorisont,BlankTegn,
IF(Tidstabel[[#This Row],[År]]=0,FB_Enhedspris/FB_Levetid,AW73*((1+Tidstabel[[#This Row],[Kalkulationsrente]])^-1)*((1+PrisudviklingGenerelt)^1))),BlankTegn)</f>
        <v>.</v>
      </c>
      <c r="AX74" s="178" t="str">
        <f ca="1">IFERROR(IF(Tidstabel[[#This Row],[År]]&gt;Input_Tidshorisont,BlankTegn,
IF(FB_Vedligehold_i=1,IF(Tidstabel[[#This Row],[FB_Uds?]]=0,1,0),IF(MAX(AX73:OFFSET(AY73,2-FB_Vedligehold_i,0),Tidstabel[[#This Row],[FB_Uds?]])=0,1,0))),BlankTegn)</f>
        <v>.</v>
      </c>
      <c r="AY74" s="178" t="str">
        <f>IFERROR(IF(Tidstabel[[#This Row],[År]]&gt;Input_Tidshorisont,BlankTegn,
IF(Tidstabel[[#This Row],[År]]=0,1,IF(MOD(Tidstabel[[#This Row],[År]],FB_Levetid)=0,1,IF(Tidstabel[[#This Row],[År]]=Input_Tidshorisont,0,0)))),BlankTegn)</f>
        <v>.</v>
      </c>
      <c r="AZ74" s="245" t="str">
        <f>IFERROR(IF(Tidstabel[[#This Row],[År]]&gt;Input_Tidshorisont,BlankTegn,
FB_Vedligehold_p*-FB_Enhedspris*Tidstabel[[#This Row],[FB_Ved?]]*((1+Tidstabel[[#This Row],[Kalkulationsrente]])^-Tidstabel[[#This Row],[År]])*((1+PrisudviklingGenerelt)^Tidstabel[[#This Row],[År]])),BlankTegn)</f>
        <v>.</v>
      </c>
      <c r="BA74" s="245" t="str">
        <f>IFERROR(IF(Tidstabel[[#This Row],[År]]&gt;Input_Tidshorisont,BlankTegn,
IF(Tidstabel[[#This Row],[År]]=0,FB_Enhedspris,SUM(BA73:BB73)*((1+Tidstabel[[#This Row],[Kalkulationsrente]])^-1)*((1+PrisudviklingGenerelt)^1)-Tidstabel[[#This Row],[FB_Afskrivning]])),BlankTegn)</f>
        <v>.</v>
      </c>
      <c r="BB74" s="245" t="str">
        <f>IFERROR(IF(Tidstabel[[#This Row],[År]]&gt;Input_Tidshorisont,BlankTegn,
IF(Tidstabel[[#This Row],[År]]=0,0,Tidstabel[[#This Row],[FB_Uds?]]*FB_Enhedspris*((1+Tidstabel[[#This Row],[Kalkulationsrente]])^-Tidstabel[[#This Row],[År]])*((1+PrisudviklingGenerelt)^Tidstabel[[#This Row],[År]]))),BlankTegn)</f>
        <v>.</v>
      </c>
      <c r="BC74" s="262" t="str">
        <f>IFERROR(IF(Tidstabel[[#This Row],[År]]&gt;Input_Tidshorisont,BlankTegn,
IF(Tidstabel[[#This Row],[År]]=0,0,Tidstabel[[#This Row],[FB_Uds?]]*-FB_Enhedspris*FB_Genoprettelse*((1+Tidstabel[[#This Row],[Kalkulationsrente]])^-Tidstabel[[#This Row],[År]])*((1+PrisudviklingGenerelt)^Tidstabel[[#This Row],[År]]))),BlankTegn)</f>
        <v>.</v>
      </c>
      <c r="BD74" s="245" t="str">
        <f>IFERROR(IF(Tidstabel[[#This Row],[År]]&gt;Input_Tidshorisont,BlankTegn,
IF(Tidstabel[[#This Row],[År]]=0,-VS_Enhedspris,0)),BlankTegn)</f>
        <v>.</v>
      </c>
      <c r="BE74" s="245" t="str">
        <f>IFERROR(IF(Tidstabel[[#This Row],[År]]&gt;Input_Tidshorisont,BlankTegn,
IF(Tidstabel[[#This Row],[År]]=0,VS_Enhedspris/VS_Levetid,BE73*((1+Tidstabel[[#This Row],[Kalkulationsrente]])^-1)*((1+PrisudviklingGenerelt)^1))),BlankTegn)</f>
        <v>.</v>
      </c>
      <c r="BF74" s="178" t="str">
        <f ca="1">IFERROR(IF(Tidstabel[[#This Row],[År]]&gt;Input_Tidshorisont,BlankTegn,
IF(VS_Vedligehold_i=1,IF(Tidstabel[[#This Row],[VS_Uds?]]=0,1,0),IF(MAX(BF73:OFFSET(BG73,2-VS_Vedligehold_i,0),Tidstabel[[#This Row],[VS_Uds?]])=0,1,0))),BlankTegn)</f>
        <v>.</v>
      </c>
      <c r="BG74" s="178" t="str">
        <f>IFERROR(IF(Tidstabel[[#This Row],[År]]&gt;Input_Tidshorisont,BlankTegn,
IF(Tidstabel[[#This Row],[År]]=0,1,IF(MOD(Tidstabel[[#This Row],[År]],VS_Levetid)=0,1,IF(Tidstabel[[#This Row],[År]]=Input_Tidshorisont,0,0)))),BlankTegn)</f>
        <v>.</v>
      </c>
      <c r="BH74" s="245" t="str">
        <f>IFERROR(IF(Tidstabel[[#This Row],[År]]&gt;Input_Tidshorisont,BlankTegn,
VS_Vedligehold_p*-VS_Enhedspris*Tidstabel[[#This Row],[VS_Ved?]]*((1+Tidstabel[[#This Row],[Kalkulationsrente]])^-Tidstabel[[#This Row],[År]])*((1+PrisudviklingGenerelt)^Tidstabel[[#This Row],[År]])),BlankTegn)</f>
        <v>.</v>
      </c>
      <c r="BI74" s="245" t="str">
        <f>IFERROR(IF(Tidstabel[[#This Row],[År]]&gt;Input_Tidshorisont,BlankTegn,
IF(Tidstabel[[#This Row],[År]]=0,VS_Enhedspris,SUM(BI73:BJ73)*((1+Tidstabel[[#This Row],[Kalkulationsrente]])^-1)*((1+PrisudviklingGenerelt)^1)-Tidstabel[[#This Row],[VS_Afskrivning]])),BlankTegn)</f>
        <v>.</v>
      </c>
      <c r="BJ74" s="245" t="str">
        <f>IFERROR(IF(Tidstabel[[#This Row],[År]]&gt;Input_Tidshorisont,BlankTegn,
IF(Tidstabel[[#This Row],[År]]=0,0,Tidstabel[[#This Row],[VS_Uds?]]*VS_Enhedspris*((1+Tidstabel[[#This Row],[Kalkulationsrente]])^-Tidstabel[[#This Row],[År]])*((1+PrisudviklingGenerelt)^Tidstabel[[#This Row],[År]]))),BlankTegn)</f>
        <v>.</v>
      </c>
      <c r="BK74" s="262" t="str">
        <f>IFERROR(IF(Tidstabel[[#This Row],[År]]&gt;Input_Tidshorisont,BlankTegn,
IF(Tidstabel[[#This Row],[År]]=0,0,Tidstabel[[#This Row],[VS_Uds?]]*-VS_Enhedspris*VS_Genoprettelse*((1+Tidstabel[[#This Row],[Kalkulationsrente]])^-Tidstabel[[#This Row],[År]])*((1+PrisudviklingGenerelt)^Tidstabel[[#This Row],[År]]))),BlankTegn)</f>
        <v>.</v>
      </c>
      <c r="BL74" s="245" t="str">
        <f>IFERROR(IF(Tidstabel[[#This Row],[År]]&gt;Input_Tidshorisont,BlankTegn,
IF(Tidstabel[[#This Row],[År]]=0,-EI_Enhedspris,0)),BlankTegn)</f>
        <v>.</v>
      </c>
      <c r="BM74" s="245" t="str">
        <f>IFERROR(IF(Tidstabel[[#This Row],[År]]&gt;Input_Tidshorisont,BlankTegn,
IF(Tidstabel[[#This Row],[År]]=0,EI_Enhedspris/EI_Levetid,BM73*((1+Tidstabel[[#This Row],[Kalkulationsrente]])^-1)*((1+PrisudviklingGenerelt)^1))),BlankTegn)</f>
        <v>.</v>
      </c>
      <c r="BN74" s="178" t="str">
        <f ca="1">IFERROR(IF(Tidstabel[[#This Row],[År]]&gt;Input_Tidshorisont,BlankTegn,
IF(EI_Vedligehold_i=1,IF(Tidstabel[[#This Row],[EI_Uds?]]=0,1,0),IF(MAX(BN73:OFFSET(BO73,2-EI_Vedligehold_i,0),Tidstabel[[#This Row],[EI_Uds?]])=0,1,0))),BlankTegn)</f>
        <v>.</v>
      </c>
      <c r="BO74" s="178" t="str">
        <f>IFERROR(IF(Tidstabel[[#This Row],[År]]&gt;Input_Tidshorisont,BlankTegn,
IF(Tidstabel[[#This Row],[År]]=0,1,IF(MOD(Tidstabel[[#This Row],[År]],EI_Levetid)=0,1,IF(Tidstabel[[#This Row],[År]]=Input_Tidshorisont,0,0)))),BlankTegn)</f>
        <v>.</v>
      </c>
      <c r="BP74" s="245" t="str">
        <f>IFERROR(IF(Tidstabel[[#This Row],[År]]&gt;Input_Tidshorisont,BlankTegn,
EI_Vedligehold_p*-EI_Enhedspris*Tidstabel[[#This Row],[EI_Ved?]]*((1+Tidstabel[[#This Row],[Kalkulationsrente]])^-Tidstabel[[#This Row],[År]])*((1+PrisudviklingGenerelt)^Tidstabel[[#This Row],[År]])),BlankTegn)</f>
        <v>.</v>
      </c>
      <c r="BQ74" s="245" t="str">
        <f>IFERROR(IF(Tidstabel[[#This Row],[År]]&gt;Input_Tidshorisont,BlankTegn,
IF(Tidstabel[[#This Row],[År]]=0,EI_Enhedspris,SUM(BQ73:BR73)*((1+Tidstabel[[#This Row],[Kalkulationsrente]])^-1)*((1+PrisudviklingGenerelt)^1)-Tidstabel[[#This Row],[EI_Afskrivning]])),BlankTegn)</f>
        <v>.</v>
      </c>
      <c r="BR74" s="245" t="str">
        <f>IFERROR(IF(Tidstabel[[#This Row],[År]]&gt;Input_Tidshorisont,BlankTegn,
IF(Tidstabel[[#This Row],[År]]=0,0,Tidstabel[[#This Row],[EI_Uds?]]*EI_Enhedspris*((1+Tidstabel[[#This Row],[Kalkulationsrente]])^-Tidstabel[[#This Row],[År]])*((1+PrisudviklingGenerelt)^Tidstabel[[#This Row],[År]]))),BlankTegn)</f>
        <v>.</v>
      </c>
      <c r="BS74" s="262" t="str">
        <f>IFERROR(IF(Tidstabel[[#This Row],[År]]&gt;Input_Tidshorisont,BlankTegn,
IF(Tidstabel[[#This Row],[År]]=0,0,Tidstabel[[#This Row],[EI_Uds?]]*-EI_Enhedspris*EI_Genoprettelse*((1+Tidstabel[[#This Row],[Kalkulationsrente]])^-Tidstabel[[#This Row],[År]])*((1+PrisudviklingGenerelt)^Tidstabel[[#This Row],[År]]))),BlankTegn)</f>
        <v>.</v>
      </c>
      <c r="BT74" s="245" t="str">
        <f>IFERROR(IF(Tidstabel[[#This Row],[År]]&gt;Input_Tidshorisont,BlankTegn,
IF(Tidstabel[[#This Row],[År]]=0,-AP_Enhedspris,0)),BlankTegn)</f>
        <v>.</v>
      </c>
      <c r="BU74" s="245" t="str">
        <f>IFERROR(IF(Tidstabel[[#This Row],[År]]&gt;Input_Tidshorisont,BlankTegn,
IF(Tidstabel[[#This Row],[År]]=0,AP_Enhedspris/AP_Levetid,BU73*((1+Tidstabel[[#This Row],[Kalkulationsrente]])^-1)*((1+PrisudviklingGenerelt)^1))),BlankTegn)</f>
        <v>.</v>
      </c>
      <c r="BV74" s="178" t="str">
        <f ca="1">IFERROR(IF(Tidstabel[[#This Row],[År]]&gt;Input_Tidshorisont,BlankTegn,
IF(AP_Vedligehold_i=1,IF(Tidstabel[[#This Row],[AP_Uds?]]=0,1,0),IF(MAX(BV73:OFFSET(BW73,2-AP_Vedligehold_i,0),Tidstabel[[#This Row],[AP_Uds?]])=0,1,0))),BlankTegn)</f>
        <v>.</v>
      </c>
      <c r="BW74" s="178" t="str">
        <f>IFERROR(IF(Tidstabel[[#This Row],[År]]&gt;Input_Tidshorisont,BlankTegn,
IF(Tidstabel[[#This Row],[År]]=0,1,IF(MOD(Tidstabel[[#This Row],[År]],AP_Levetid)=0,1,IF(Tidstabel[[#This Row],[År]]=Input_Tidshorisont,0,0)))),BlankTegn)</f>
        <v>.</v>
      </c>
      <c r="BX74" s="245" t="str">
        <f>IFERROR(IF(Tidstabel[[#This Row],[År]]&gt;Input_Tidshorisont,BlankTegn,
AP_Vedligehold_p*-AP_Enhedspris*Tidstabel[[#This Row],[AP_Ved?]]*((1+Tidstabel[[#This Row],[Kalkulationsrente]])^-Tidstabel[[#This Row],[År]])*((1+PrisudviklingGenerelt)^Tidstabel[[#This Row],[År]])),BlankTegn)</f>
        <v>.</v>
      </c>
      <c r="BY74" s="245" t="str">
        <f>IFERROR(IF(Tidstabel[[#This Row],[År]]&gt;Input_Tidshorisont,BlankTegn,
IF(Tidstabel[[#This Row],[År]]=0,AP_Enhedspris,SUM(BY73:BZ73)*((1+Tidstabel[[#This Row],[Kalkulationsrente]])^-1)*((1+PrisudviklingGenerelt)^1)-Tidstabel[[#This Row],[AP_Afskrivning]])),BlankTegn)</f>
        <v>.</v>
      </c>
      <c r="BZ74" s="245" t="str">
        <f>IFERROR(IF(Tidstabel[[#This Row],[År]]&gt;Input_Tidshorisont,BlankTegn,
IF(Tidstabel[[#This Row],[År]]=0,0,Tidstabel[[#This Row],[AP_Uds?]]*AP_Enhedspris*((1+Tidstabel[[#This Row],[Kalkulationsrente]])^-Tidstabel[[#This Row],[År]])*((1+PrisudviklingGenerelt)^Tidstabel[[#This Row],[År]]))),BlankTegn)</f>
        <v>.</v>
      </c>
      <c r="CA74" s="262" t="str">
        <f>IFERROR(IF(Tidstabel[[#This Row],[År]]&gt;Input_Tidshorisont,BlankTegn,
IF(Tidstabel[[#This Row],[År]]=0,0,Tidstabel[[#This Row],[AP_Uds?]]*-AP_Enhedspris*AP_Genoprettelse*((1+Tidstabel[[#This Row],[Kalkulationsrente]])^-Tidstabel[[#This Row],[År]])*((1+PrisudviklingGenerelt)^Tidstabel[[#This Row],[År]]))),BlankTegn)</f>
        <v>.</v>
      </c>
      <c r="CB74" s="245" t="str">
        <f>IFERROR(IF(Tidstabel[[#This Row],[År]]&gt;Input_Tidshorisont,BlankTegn,
IF(Tidstabel[[#This Row],[År]]=0,-SK_Enhedspris,0)),BlankTegn)</f>
        <v>.</v>
      </c>
      <c r="CC74" s="245" t="str">
        <f>IFERROR(IF(Tidstabel[[#This Row],[År]]&gt;Input_Tidshorisont,BlankTegn,
IF(Tidstabel[[#This Row],[År]]=0,SK_Enhedspris/SK_Levetid,CC73*((1+Tidstabel[[#This Row],[Kalkulationsrente]])^-1)*((1+PrisudviklingGenerelt)^1))),BlankTegn)</f>
        <v>.</v>
      </c>
      <c r="CD74" s="178" t="str">
        <f ca="1">IFERROR(IF(Tidstabel[[#This Row],[År]]&gt;Input_Tidshorisont,BlankTegn,
IF(SK_Vedligehold_i=1,IF(Tidstabel[[#This Row],[SK_Uds?]]=0,1,0),IF(MAX(CD73:OFFSET(CE73,2-SK_Vedligehold_i,0),Tidstabel[[#This Row],[SK_Uds?]])=0,1,0))),BlankTegn)</f>
        <v>.</v>
      </c>
      <c r="CE74" s="178" t="str">
        <f>IFERROR(IF(Tidstabel[[#This Row],[År]]&gt;Input_Tidshorisont,BlankTegn,
IF(Tidstabel[[#This Row],[År]]=0,1,IF(MOD(Tidstabel[[#This Row],[År]],SK_Levetid)=0,1,IF(Tidstabel[[#This Row],[År]]=Input_Tidshorisont,0,0)))),BlankTegn)</f>
        <v>.</v>
      </c>
      <c r="CF74" s="245" t="str">
        <f>IFERROR(IF(Tidstabel[[#This Row],[År]]&gt;Input_Tidshorisont,BlankTegn,
SK_Vedligehold_p*-SK_Enhedspris*Tidstabel[[#This Row],[SK_Ved?]]*((1+Tidstabel[[#This Row],[Kalkulationsrente]])^-Tidstabel[[#This Row],[År]])*((1+PrisudviklingGenerelt)^Tidstabel[[#This Row],[År]])),BlankTegn)</f>
        <v>.</v>
      </c>
      <c r="CG74" s="245" t="str">
        <f>IFERROR(IF(Tidstabel[[#This Row],[År]]&gt;Input_Tidshorisont,BlankTegn,
IF(Tidstabel[[#This Row],[År]]=0,SK_Enhedspris,SUM(CG73:CH73)*((1+Tidstabel[[#This Row],[Kalkulationsrente]])^-1)*((1+PrisudviklingGenerelt)^1)-Tidstabel[[#This Row],[SK_Afskrivning]])),BlankTegn)</f>
        <v>.</v>
      </c>
      <c r="CH74" s="245" t="str">
        <f>IFERROR(IF(Tidstabel[[#This Row],[År]]&gt;Input_Tidshorisont,BlankTegn,
IF(Tidstabel[[#This Row],[År]]=0,0,Tidstabel[[#This Row],[SK_Uds?]]*SK_Enhedspris*((1+Tidstabel[[#This Row],[Kalkulationsrente]])^-Tidstabel[[#This Row],[År]])*((1+PrisudviklingGenerelt)^Tidstabel[[#This Row],[År]]))),BlankTegn)</f>
        <v>.</v>
      </c>
      <c r="CI74" s="262" t="str">
        <f>IFERROR(IF(Tidstabel[[#This Row],[År]]&gt;Input_Tidshorisont,BlankTegn,
IF(Tidstabel[[#This Row],[År]]=0,0,Tidstabel[[#This Row],[SK_Uds?]]*-SK_Enhedspris*SK_Genoprettelse*((1+Tidstabel[[#This Row],[Kalkulationsrente]])^-Tidstabel[[#This Row],[År]])*((1+PrisudviklingGenerelt)^Tidstabel[[#This Row],[År]]))),BlankTegn)</f>
        <v>.</v>
      </c>
      <c r="CJ74" s="19"/>
    </row>
    <row r="75" spans="1:88">
      <c r="A75" s="250">
        <v>68</v>
      </c>
      <c r="B75" s="250">
        <f>Input_Etableringsår+Tidstabel[[#This Row],[År]]</f>
        <v>2092</v>
      </c>
      <c r="C75" s="274" cm="1">
        <f t="array" ref="C75">_xlfn.IFS(Tidstabel[[#This Row],[År]]&gt;KR_Trin3_Tærskel,KR_Trin3_Rente,Tidstabel[[#This Row],[År]]&gt;KR_Trin2_Tærskel,KR_Trin2_Rente,Tidstabel[[#This Row],[År]]&gt;KR_Trin1_Tærskel,KR_Trin1_Rente,Tidstabel[[#This Row],[År]]&gt;KR_Trin0_Tærskel,KR_Trin0_Rente)</f>
        <v>2.5000000000000001E-2</v>
      </c>
      <c r="D75" s="142" t="str" cm="1">
        <f t="array" ref="D75">IFERROR(
INDEX(Range_Materiale_ÅrligeEmissioner,MATCH(1,(Materialedata[Komponent]=FB_Titel)*(Materialedata[Materiale]=FB_Materiale),0),MATCH(Tidstabel[[#This Row],[År]],Range_Materiale_År,0)),BlankTegn)</f>
        <v>.</v>
      </c>
      <c r="E75" s="142" t="str" cm="1">
        <f t="array" ref="E75">IFERROR(
INDEX(Range_Materiale_ÅrligeEmissioner,MATCH(1,(Materialedata[Komponent]=SK_Titel)*(Materialedata[Materiale]=SK_Materiale),0),MATCH(Tidstabel[[#This Row],[År]],Range_Materiale_År,0)),BlankTegn)</f>
        <v>.</v>
      </c>
      <c r="F75" s="142" t="str" cm="1">
        <f t="array" ref="F75">IFERROR(
INDEX(Range_Materiale_ÅrligeEmissioner,MATCH(1,(Materialedata[Komponent]=EI_Titel)*(Materialedata[Materiale]=EI_Materiale),0),MATCH(Tidstabel[[#This Row],[År]],Range_Materiale_År,0)),BlankTegn)</f>
        <v>.</v>
      </c>
      <c r="G75" s="142" t="str" cm="1">
        <f t="array" ref="G75">IFERROR(
INDEX(Range_Materiale_ÅrligeEmissioner,MATCH(1,(Materialedata[Komponent]=AP_Titel)*(Materialedata[Materiale]=AP_Materiale),0),MATCH(Tidstabel[[#This Row],[År]],Range_Materiale_År,0)),BlankTegn)</f>
        <v>.</v>
      </c>
      <c r="H75" s="142" t="str" cm="1">
        <f t="array" ref="H75">IFERROR(
INDEX(Range_Materiale_ÅrligeEmissioner,MATCH(1,(Materialedata[Komponent]=VS_Titel)*(Materialedata[Materiale]=VS_Materiale),0),MATCH(Tidstabel[[#This Row],[År]],Range_Materiale_År,0)),BlankTegn)</f>
        <v>.</v>
      </c>
      <c r="I75" s="142" t="str">
        <f>IFERROR(
IF(SUM(Tidstabel[[#This Row],[Facadebeklædning]:[Vindspærre]])=0,BlankTegn,
SUM(Tidstabel[[#This Row],[Facadebeklædning]:[Vindspærre]])),BlankTegn)</f>
        <v>.</v>
      </c>
      <c r="J75" s="139" t="str">
        <f>IF(Tidstabel[[#This Row],[År]]&gt;Input_Tidshorisont,BlankTegn,
A5_ElVarmeBrændstofByggeplads)</f>
        <v>.</v>
      </c>
      <c r="K75" s="142" t="str">
        <f>IFERROR(IF(Tidstabel[[#This Row],[År]]&gt;Input_Tidshorisont,BlankTegn,
-1*INDEX(Range_Energi_ÅrligBesparelse,MATCH(Input_EksisterendeFacade,Energiberegning[Ydervæg],0),MATCH(Tidstabel[[#This Row],[Årstal]],Range_Energi_Årstal,0))),BlankTegn)</f>
        <v>.</v>
      </c>
      <c r="L75" s="142" t="str">
        <f>IF(Tidstabel[[#This Row],[År]]&gt;Input_Tidshorisont,BlankTegn,
(Tidstabel[[#This Row],[År]]+1)*(SUM(Vedligeholdelsesmaterialer[Facadefarve],Vedligeholdelsesmaterialer[Grunder og mellemmaling])/12+SUM(Vedligeholdelsesmaterialer[Puds])/30))</f>
        <v>.</v>
      </c>
      <c r="M75" s="142" t="str">
        <f>IFERROR(IF(Tidstabel[[#This Row],[År]]&gt;Input_Tidshorisont,BlankTegn,
Tidstabel[[#This Row],[Materialer_Total]]+Tidstabel[[#This Row],[Byggeprocess]]),BlankTegn)</f>
        <v>.</v>
      </c>
      <c r="N75" s="142" t="str">
        <f>IFERROR(IF(Tidstabel[[#This Row],[År]]&gt;Input_Tidshorisont,BlankTegn,
Tidstabel[[#This Row],[Energibesparelse]]+Tidstabel[[#This Row],[Emission_Brutto]]),BlankTegn)</f>
        <v>.</v>
      </c>
      <c r="O75" s="142" t="str">
        <f>IFERROR(IF(Tidstabel[[#This Row],[År]]&gt;Input_Tidshorisont,BlankTegn,
Tidstabel[[#This Row],[Emission_Netto]]-Tidstabel[[#This Row],[Vedligehold_EksisterendeFacade]]),BlankTegn)</f>
        <v>.</v>
      </c>
      <c r="P75" s="271" t="str">
        <f>IFERROR(IF(Tidstabel[[#This Row],[År]]&gt;Input_Tidshorisont,BlankTegn,
IF(AND(Tidstabel[[#This Row],[Emission_Netto]]-Tidstabel[[#This Row],[Vedligehold_EksisterendeFacade]]&gt;0,N76-L76&lt;0),-1,IF(AND(Tidstabel[[#This Row],[Emission_Netto]]-Tidstabel[[#This Row],[Vedligehold_EksisterendeFacade]]&lt;0,N76-L76&gt;0),1,0))),BlankTegn)</f>
        <v>.</v>
      </c>
      <c r="Q75" s="174" t="str">
        <f>IF(Tidstabel[[#This Row],[År]]&gt;Input_Tidshorisont,BlankTegn,
IF(Tidstabel[[#This Row],[LCA-Skæring]]=-1,SUM(Tidstabel[[#This Row],[År]]*(1-ABS(Tidstabel[[#This Row],[LCA-Difference]])/(ABS(Tidstabel[[#This Row],[LCA-Difference]])+ABS(O76))),A76*(1-ABS(O76)/(ABS(Tidstabel[[#This Row],[LCA-Difference]])+ABS(O76)))),"-"))</f>
        <v>.</v>
      </c>
      <c r="R75" s="174" t="str">
        <f>IF(Tidstabel[[#This Row],[År]]&gt;Input_Tidshorisont,BlankTegn,
IF(Tidstabel[[#This Row],[LCA-Skæring]]=-1,SUM(Tidstabel[[#This Row],[Emission_Netto]]*(1-ABS(Tidstabel[[#This Row],[LCA-Difference]])/(ABS(Tidstabel[[#This Row],[LCA-Difference]])+ABS(O76))),N76*(1-ABS(O76)/(ABS(Tidstabel[[#This Row],[LCA-Difference]])+ABS(O76)))),"-"))</f>
        <v>.</v>
      </c>
      <c r="S75" s="174" t="str">
        <f>IF(Tidstabel[[#This Row],[År]]&gt;Input_Tidshorisont,BlankTegn,
IF(Tidstabel[[#This Row],[LCA-Skæring]]=1,SUM(Tidstabel[[#This Row],[År]]*(1-ABS(Tidstabel[[#This Row],[LCA-Difference]])/(ABS(Tidstabel[[#This Row],[LCA-Difference]])+ABS(O76))),A76*(1-ABS(O76)/(ABS(Tidstabel[[#This Row],[LCA-Difference]])+ABS(O76)))),"-"))</f>
        <v>.</v>
      </c>
      <c r="T75" s="264" t="str">
        <f>IF(Tidstabel[[#This Row],[År]]&gt;Input_Tidshorisont,BlankTegn,
IF(Tidstabel[[#This Row],[LCA-Skæring]]=1,SUM(Tidstabel[[#This Row],[Emission_Netto]]*(1-ABS(Tidstabel[[#This Row],[LCA-Difference]])/(ABS(Tidstabel[[#This Row],[LCA-Difference]])+ABS(O76))),N76*(1-ABS(O76)/(ABS(Tidstabel[[#This Row],[LCA-Difference]])+ABS(O76)))),"-"))</f>
        <v>.</v>
      </c>
      <c r="U75" s="142" t="str">
        <f>IFERROR(IF(Tidstabel[[#This Row],[År]]&gt;Input_Tidshorisont,BlankTegn,
Tidstabel[[#This Row],[NPV_Klimafacade]]-Tidstabel[[#This Row],[NPV_Eksisterende]]),BlankTegn)</f>
        <v>.</v>
      </c>
      <c r="V75" s="271" t="str">
        <f>IFERROR(IF(Tidstabel[[#This Row],[År]]&gt;Input_Tidshorisont,BlankTegn,
IF(AND(Tidstabel[[#This Row],[NPV_Klimafacade]]-Tidstabel[[#This Row],[NPV_Eksisterende]]&gt;0,AB76-AA76&lt;0),1,IF(AND(Tidstabel[[#This Row],[NPV_Klimafacade]]-Tidstabel[[#This Row],[NPV_Eksisterende]]&lt;0,AB76-AA76&gt;0),-1,0))),BlankTegn)</f>
        <v>.</v>
      </c>
      <c r="W75" s="174" t="str">
        <f>IF(Tidstabel[[#This Row],[År]]&gt;Input_Tidshorisont,BlankTegn,
IF(Tidstabel[[#This Row],[LCC-Skæring]]=-1,SUM(Tidstabel[[#This Row],[År]]*(1-ABS(Tidstabel[[#This Row],[LCC-Difference]])/(ABS(Tidstabel[[#This Row],[LCC-Difference]])+ABS(U76))),A76*(1-ABS(U76)/(ABS(Tidstabel[[#This Row],[LCC-Difference]])+ABS(U76)))),"-"))</f>
        <v>.</v>
      </c>
      <c r="X75" s="174" t="str">
        <f>IF(Tidstabel[[#This Row],[År]]&gt;Input_Tidshorisont,BlankTegn,
IF(Tidstabel[[#This Row],[LCC-Skæring]]=-1,SUM(Tidstabel[[#This Row],[NPV_Klimafacade]]*(1-ABS(Tidstabel[[#This Row],[LCC-Difference]])/(ABS(Tidstabel[[#This Row],[LCC-Difference]])+ABS(U76))),AB76*(1-ABS(U76)/(ABS(Tidstabel[[#This Row],[LCC-Difference]])+ABS(U76)))),"-"))</f>
        <v>.</v>
      </c>
      <c r="Y75" s="174" t="str">
        <f>IF(Tidstabel[[#This Row],[År]]&gt;Input_Tidshorisont,BlankTegn,
IF(Tidstabel[[#This Row],[LCC-Skæring]]=1,SUM(Tidstabel[[#This Row],[År]]*(1-ABS(Tidstabel[[#This Row],[LCC-Difference]])/(ABS(Tidstabel[[#This Row],[LCC-Difference]])+ABS(U76))),A76*(1-ABS(U76)/(ABS(Tidstabel[[#This Row],[LCC-Difference]])+ABS(U76)))),"-"))</f>
        <v>.</v>
      </c>
      <c r="Z75" s="264" t="str">
        <f>IF(Tidstabel[[#This Row],[År]]&gt;Input_Tidshorisont,BlankTegn,
IF(Tidstabel[[#This Row],[LCC-Skæring]]=1,SUM(Tidstabel[[#This Row],[NPV_Klimafacade]]*(1-ABS(Tidstabel[[#This Row],[LCC-Difference]])/(ABS(Tidstabel[[#This Row],[LCC-Difference]])+ABS(U76))),AB76*(1-ABS(U76)/(ABS(Tidstabel[[#This Row],[LCC-Difference]])+ABS(U76)))),"-"))</f>
        <v>.</v>
      </c>
      <c r="AA75" s="142" t="str">
        <f>IF(Tidstabel[[#This Row],[År]]&gt;Input_Tidshorisont,BlankTegn,
Tidstabel[[#This Row],[EF_Vedligehold_Aggregeret]])</f>
        <v>.</v>
      </c>
      <c r="AB75"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5" s="142" t="str">
        <f>IFERROR(IF(Tidstabel[[#This Row],[År]]&gt;Input_Tidshorisont,BlankTegn,
Tidstabel[[#This Row],[KF_Anskaffelse_Aggregeret]]+Tidstabel[[#This Row],[KF_Engangsudgifter_Aggregeret]]),BlankTegn)</f>
        <v>.</v>
      </c>
      <c r="AD75" s="174" t="str">
        <f>IFERROR(IF(Tidstabel[[#This Row],[År]]&gt;Input_Tidshorisont,BlankTegn,
IF(Tidstabel[[#This Row],[År]]=0,0,Tidstabel[[#This Row],[NPV_Eksisterende]]*(Tidstabel[[#This Row],[Kalkulationsrente]]/(1-(1+Tidstabel[[#This Row],[Kalkulationsrente]])^-Tidstabel[[#This Row],[År]])))),BlankTegn)</f>
        <v>.</v>
      </c>
      <c r="AE75" s="264" t="str">
        <f>IFERROR(IF(Tidstabel[[#This Row],[År]]&gt;Input_Tidshorisont,BlankTegn,
IF(Tidstabel[[#This Row],[År]]=0,0,Tidstabel[[#This Row],[NPV_Klimafacade]]*(Tidstabel[[#This Row],[Kalkulationsrente]]/(1-(1+Tidstabel[[#This Row],[Kalkulationsrente]])^-Tidstabel[[#This Row],[År]])))),BlankTegn)</f>
        <v>.</v>
      </c>
      <c r="AF75" s="270" t="str">
        <f ca="1">IF(Tidstabel[[#This Row],[År]]&gt;Input_Tidshorisont,BlankTegn,
IF(EF_Vedligehold_i=1,IF(Tidstabel[[#This Row],[EF_Uds?]]=0,1,0),IF(MAX(AF74:OFFSET(AG74,2-EF_Vedligehold_i,0),Tidstabel[[#This Row],[EF_Uds?]])=0,1,0)))</f>
        <v>.</v>
      </c>
      <c r="AG75" s="181" t="str">
        <f>IF(Tidstabel[[#This Row],[År]]&gt;Input_Tidshorisont,BlankTegn,0)</f>
        <v>.</v>
      </c>
      <c r="AH75" s="263" t="str">
        <f>IF(Tidstabel[[#This Row],[År]]&gt;Input_Tidshorisont,BlankTegn,
Tidstabel[[#This Row],[EF_Ved?]]*EF_Vedligehold_p*-EF_Enhedspris*((1+Tidstabel[[#This Row],[Kalkulationsrente]])^-Tidstabel[[#This Row],[År]])*((1+PrisudviklingGenerelt)^Tidstabel[[#This Row],[År]]))</f>
        <v>.</v>
      </c>
      <c r="AI75" s="262" t="str">
        <f>IF(Tidstabel[[#This Row],[År]]&gt;Input_Tidshorisont,BlankTegn,
IF(Tidstabel[[#This Row],[År]]=0,Tidstabel[[#This Row],[EF_Vedligehold]],AI74+Tidstabel[[#This Row],[EF_Vedligehold]]))</f>
        <v>.</v>
      </c>
      <c r="AJ75" s="245" t="str">
        <f>IFERROR(IF(Tidstabel[[#This Row],[År]]&gt;Input_Tidshorisont,BlankTegn,
Tidstabel[[#This Row],[FB_Anskaffelse]]+Tidstabel[[#This Row],[VS_Anskaffelse]]+Tidstabel[[#This Row],[EI_Anskaffelse]]+Tidstabel[[#This Row],[AP_Anskaffelse]]+Tidstabel[[#This Row],[SK_Anskaffelse]]),BlankTegn)</f>
        <v>.</v>
      </c>
      <c r="AK75" s="245" t="str">
        <f>IFERROR(IF(Tidstabel[[#This Row],[År]]&gt;Input_Tidshorisont,BlankTegn,
IF(Tidstabel[[#This Row],[År]]=0,Tidstabel[[#This Row],[KF_Anskaffelse]],AK74+Tidstabel[[#This Row],[KF_Anskaffelse]])),BlankTegn)</f>
        <v>.</v>
      </c>
      <c r="AL75" s="246" t="str">
        <f>IFERROR(IF(Tidstabel[[#This Row],[År]]&gt;Input_Tidshorisont,BlankTegn,
Tidstabel[[#This Row],[FB_Vedligehold]]+Tidstabel[[#This Row],[VS_Vedligehold]]+Tidstabel[[#This Row],[EI_Vedligehold]]+Tidstabel[[#This Row],[AP_Vedligehold]]+Tidstabel[[#This Row],[SK_Vedligehold]]),BlankTegn)</f>
        <v>.</v>
      </c>
      <c r="AM75" s="245" t="str">
        <f>IFERROR(IF(Tidstabel[[#This Row],[År]]&gt;Input_Tidshorisont,BlankTegn,
IF(Tidstabel[[#This Row],[År]]=0,Tidstabel[[#This Row],[KF_Vedligehold]],AM74+Tidstabel[[#This Row],[KF_Vedligehold]])),BlankTegn)</f>
        <v>.</v>
      </c>
      <c r="AN75"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75"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75" s="245" t="str">
        <f>IFERROR(IF(Tidstabel[[#This Row],[År]]&gt;Input_Tidshorisont,BlankTegn,
IF(Tidstabel[[#This Row],[År]]=0,Tidstabel[[#This Row],[KF_Udskiftning_Komponent]],AP74+Tidstabel[[#This Row],[KF_Udskiftning_Komponent]])),BlankTegn)</f>
        <v>.</v>
      </c>
      <c r="AQ75" s="245" t="str">
        <f>IF(Tidstabel[[#This Row],[År]]&gt;Input_Tidshorisont,BlankTegn,
IF(Tidstabel[[#This Row],[År]]=0,-SUM(Engangsudgifter[Udgift]),0))</f>
        <v>.</v>
      </c>
      <c r="AR75" s="245" t="str">
        <f>IFERROR(IF(Tidstabel[[#This Row],[År]]&gt;Input_Tidshorisont,BlankTegn,
IF(Tidstabel[[#This Row],[År]]=0,Tidstabel[[#This Row],[KF_Engangsudgifter]],AR74+Tidstabel[[#This Row],[KF_Engangsudgifter]])),BlankTegn)</f>
        <v>.</v>
      </c>
      <c r="AS75" s="315" t="str">
        <f>IFERROR(IF(Tidstabel[[#This Row],[År]]&gt;Input_Tidshorisont,BlankTegn,
-Energibesparelse_Årlig),BlankTegn)</f>
        <v>.</v>
      </c>
      <c r="AT75" s="245" t="str">
        <f>IFERROR(IF(Tidstabel[[#This Row],[År]]&gt;Input_Tidshorisont,BlankTegn,
IF(Tidstabel[[#This Row],[År]]=0,0,-Tidstabel[[#This Row],[KF_Energiforbrug]]*Input_Fjernvarmepris*((1+Tidstabel[[#This Row],[Kalkulationsrente]])^-Tidstabel[[#This Row],[År]])*((1+PrisudviklingFjernvarme)^Tidstabel[[#This Row],[År]]))),BlankTegn)</f>
        <v>.</v>
      </c>
      <c r="AU75" s="262" t="str">
        <f>IFERROR(IF(Tidstabel[[#This Row],[År]]&gt;Input_Tidshorisont,BlankTegn,
IF(Tidstabel[[#This Row],[År]]=0,Tidstabel[[#This Row],[KF_Forsyning]],AU74+Tidstabel[[#This Row],[KF_Forsyning]])),BlankTegn)</f>
        <v>.</v>
      </c>
      <c r="AV75" s="245" t="str">
        <f>IFERROR(IF(Tidstabel[[#This Row],[År]]&gt;Input_Tidshorisont,BlankTegn,
IF(Tidstabel[[#This Row],[År]]=0,-FB_Enhedspris,0)),BlankTegn)</f>
        <v>.</v>
      </c>
      <c r="AW75" s="245" t="str">
        <f>IFERROR(IF(Tidstabel[[#This Row],[År]]&gt;Input_Tidshorisont,BlankTegn,
IF(Tidstabel[[#This Row],[År]]=0,FB_Enhedspris/FB_Levetid,AW74*((1+Tidstabel[[#This Row],[Kalkulationsrente]])^-1)*((1+PrisudviklingGenerelt)^1))),BlankTegn)</f>
        <v>.</v>
      </c>
      <c r="AX75" s="178" t="str">
        <f ca="1">IFERROR(IF(Tidstabel[[#This Row],[År]]&gt;Input_Tidshorisont,BlankTegn,
IF(FB_Vedligehold_i=1,IF(Tidstabel[[#This Row],[FB_Uds?]]=0,1,0),IF(MAX(AX74:OFFSET(AY74,2-FB_Vedligehold_i,0),Tidstabel[[#This Row],[FB_Uds?]])=0,1,0))),BlankTegn)</f>
        <v>.</v>
      </c>
      <c r="AY75" s="178" t="str">
        <f>IFERROR(IF(Tidstabel[[#This Row],[År]]&gt;Input_Tidshorisont,BlankTegn,
IF(Tidstabel[[#This Row],[År]]=0,1,IF(MOD(Tidstabel[[#This Row],[År]],FB_Levetid)=0,1,IF(Tidstabel[[#This Row],[År]]=Input_Tidshorisont,0,0)))),BlankTegn)</f>
        <v>.</v>
      </c>
      <c r="AZ75" s="245" t="str">
        <f>IFERROR(IF(Tidstabel[[#This Row],[År]]&gt;Input_Tidshorisont,BlankTegn,
FB_Vedligehold_p*-FB_Enhedspris*Tidstabel[[#This Row],[FB_Ved?]]*((1+Tidstabel[[#This Row],[Kalkulationsrente]])^-Tidstabel[[#This Row],[År]])*((1+PrisudviklingGenerelt)^Tidstabel[[#This Row],[År]])),BlankTegn)</f>
        <v>.</v>
      </c>
      <c r="BA75" s="245" t="str">
        <f>IFERROR(IF(Tidstabel[[#This Row],[År]]&gt;Input_Tidshorisont,BlankTegn,
IF(Tidstabel[[#This Row],[År]]=0,FB_Enhedspris,SUM(BA74:BB74)*((1+Tidstabel[[#This Row],[Kalkulationsrente]])^-1)*((1+PrisudviklingGenerelt)^1)-Tidstabel[[#This Row],[FB_Afskrivning]])),BlankTegn)</f>
        <v>.</v>
      </c>
      <c r="BB75" s="245" t="str">
        <f>IFERROR(IF(Tidstabel[[#This Row],[År]]&gt;Input_Tidshorisont,BlankTegn,
IF(Tidstabel[[#This Row],[År]]=0,0,Tidstabel[[#This Row],[FB_Uds?]]*FB_Enhedspris*((1+Tidstabel[[#This Row],[Kalkulationsrente]])^-Tidstabel[[#This Row],[År]])*((1+PrisudviklingGenerelt)^Tidstabel[[#This Row],[År]]))),BlankTegn)</f>
        <v>.</v>
      </c>
      <c r="BC75" s="262" t="str">
        <f>IFERROR(IF(Tidstabel[[#This Row],[År]]&gt;Input_Tidshorisont,BlankTegn,
IF(Tidstabel[[#This Row],[År]]=0,0,Tidstabel[[#This Row],[FB_Uds?]]*-FB_Enhedspris*FB_Genoprettelse*((1+Tidstabel[[#This Row],[Kalkulationsrente]])^-Tidstabel[[#This Row],[År]])*((1+PrisudviklingGenerelt)^Tidstabel[[#This Row],[År]]))),BlankTegn)</f>
        <v>.</v>
      </c>
      <c r="BD75" s="245" t="str">
        <f>IFERROR(IF(Tidstabel[[#This Row],[År]]&gt;Input_Tidshorisont,BlankTegn,
IF(Tidstabel[[#This Row],[År]]=0,-VS_Enhedspris,0)),BlankTegn)</f>
        <v>.</v>
      </c>
      <c r="BE75" s="245" t="str">
        <f>IFERROR(IF(Tidstabel[[#This Row],[År]]&gt;Input_Tidshorisont,BlankTegn,
IF(Tidstabel[[#This Row],[År]]=0,VS_Enhedspris/VS_Levetid,BE74*((1+Tidstabel[[#This Row],[Kalkulationsrente]])^-1)*((1+PrisudviklingGenerelt)^1))),BlankTegn)</f>
        <v>.</v>
      </c>
      <c r="BF75" s="178" t="str">
        <f ca="1">IFERROR(IF(Tidstabel[[#This Row],[År]]&gt;Input_Tidshorisont,BlankTegn,
IF(VS_Vedligehold_i=1,IF(Tidstabel[[#This Row],[VS_Uds?]]=0,1,0),IF(MAX(BF74:OFFSET(BG74,2-VS_Vedligehold_i,0),Tidstabel[[#This Row],[VS_Uds?]])=0,1,0))),BlankTegn)</f>
        <v>.</v>
      </c>
      <c r="BG75" s="178" t="str">
        <f>IFERROR(IF(Tidstabel[[#This Row],[År]]&gt;Input_Tidshorisont,BlankTegn,
IF(Tidstabel[[#This Row],[År]]=0,1,IF(MOD(Tidstabel[[#This Row],[År]],VS_Levetid)=0,1,IF(Tidstabel[[#This Row],[År]]=Input_Tidshorisont,0,0)))),BlankTegn)</f>
        <v>.</v>
      </c>
      <c r="BH75" s="245" t="str">
        <f>IFERROR(IF(Tidstabel[[#This Row],[År]]&gt;Input_Tidshorisont,BlankTegn,
VS_Vedligehold_p*-VS_Enhedspris*Tidstabel[[#This Row],[VS_Ved?]]*((1+Tidstabel[[#This Row],[Kalkulationsrente]])^-Tidstabel[[#This Row],[År]])*((1+PrisudviklingGenerelt)^Tidstabel[[#This Row],[År]])),BlankTegn)</f>
        <v>.</v>
      </c>
      <c r="BI75" s="245" t="str">
        <f>IFERROR(IF(Tidstabel[[#This Row],[År]]&gt;Input_Tidshorisont,BlankTegn,
IF(Tidstabel[[#This Row],[År]]=0,VS_Enhedspris,SUM(BI74:BJ74)*((1+Tidstabel[[#This Row],[Kalkulationsrente]])^-1)*((1+PrisudviklingGenerelt)^1)-Tidstabel[[#This Row],[VS_Afskrivning]])),BlankTegn)</f>
        <v>.</v>
      </c>
      <c r="BJ75" s="245" t="str">
        <f>IFERROR(IF(Tidstabel[[#This Row],[År]]&gt;Input_Tidshorisont,BlankTegn,
IF(Tidstabel[[#This Row],[År]]=0,0,Tidstabel[[#This Row],[VS_Uds?]]*VS_Enhedspris*((1+Tidstabel[[#This Row],[Kalkulationsrente]])^-Tidstabel[[#This Row],[År]])*((1+PrisudviklingGenerelt)^Tidstabel[[#This Row],[År]]))),BlankTegn)</f>
        <v>.</v>
      </c>
      <c r="BK75" s="262" t="str">
        <f>IFERROR(IF(Tidstabel[[#This Row],[År]]&gt;Input_Tidshorisont,BlankTegn,
IF(Tidstabel[[#This Row],[År]]=0,0,Tidstabel[[#This Row],[VS_Uds?]]*-VS_Enhedspris*VS_Genoprettelse*((1+Tidstabel[[#This Row],[Kalkulationsrente]])^-Tidstabel[[#This Row],[År]])*((1+PrisudviklingGenerelt)^Tidstabel[[#This Row],[År]]))),BlankTegn)</f>
        <v>.</v>
      </c>
      <c r="BL75" s="245" t="str">
        <f>IFERROR(IF(Tidstabel[[#This Row],[År]]&gt;Input_Tidshorisont,BlankTegn,
IF(Tidstabel[[#This Row],[År]]=0,-EI_Enhedspris,0)),BlankTegn)</f>
        <v>.</v>
      </c>
      <c r="BM75" s="245" t="str">
        <f>IFERROR(IF(Tidstabel[[#This Row],[År]]&gt;Input_Tidshorisont,BlankTegn,
IF(Tidstabel[[#This Row],[År]]=0,EI_Enhedspris/EI_Levetid,BM74*((1+Tidstabel[[#This Row],[Kalkulationsrente]])^-1)*((1+PrisudviklingGenerelt)^1))),BlankTegn)</f>
        <v>.</v>
      </c>
      <c r="BN75" s="178" t="str">
        <f ca="1">IFERROR(IF(Tidstabel[[#This Row],[År]]&gt;Input_Tidshorisont,BlankTegn,
IF(EI_Vedligehold_i=1,IF(Tidstabel[[#This Row],[EI_Uds?]]=0,1,0),IF(MAX(BN74:OFFSET(BO74,2-EI_Vedligehold_i,0),Tidstabel[[#This Row],[EI_Uds?]])=0,1,0))),BlankTegn)</f>
        <v>.</v>
      </c>
      <c r="BO75" s="178" t="str">
        <f>IFERROR(IF(Tidstabel[[#This Row],[År]]&gt;Input_Tidshorisont,BlankTegn,
IF(Tidstabel[[#This Row],[År]]=0,1,IF(MOD(Tidstabel[[#This Row],[År]],EI_Levetid)=0,1,IF(Tidstabel[[#This Row],[År]]=Input_Tidshorisont,0,0)))),BlankTegn)</f>
        <v>.</v>
      </c>
      <c r="BP75" s="245" t="str">
        <f>IFERROR(IF(Tidstabel[[#This Row],[År]]&gt;Input_Tidshorisont,BlankTegn,
EI_Vedligehold_p*-EI_Enhedspris*Tidstabel[[#This Row],[EI_Ved?]]*((1+Tidstabel[[#This Row],[Kalkulationsrente]])^-Tidstabel[[#This Row],[År]])*((1+PrisudviklingGenerelt)^Tidstabel[[#This Row],[År]])),BlankTegn)</f>
        <v>.</v>
      </c>
      <c r="BQ75" s="245" t="str">
        <f>IFERROR(IF(Tidstabel[[#This Row],[År]]&gt;Input_Tidshorisont,BlankTegn,
IF(Tidstabel[[#This Row],[År]]=0,EI_Enhedspris,SUM(BQ74:BR74)*((1+Tidstabel[[#This Row],[Kalkulationsrente]])^-1)*((1+PrisudviklingGenerelt)^1)-Tidstabel[[#This Row],[EI_Afskrivning]])),BlankTegn)</f>
        <v>.</v>
      </c>
      <c r="BR75" s="245" t="str">
        <f>IFERROR(IF(Tidstabel[[#This Row],[År]]&gt;Input_Tidshorisont,BlankTegn,
IF(Tidstabel[[#This Row],[År]]=0,0,Tidstabel[[#This Row],[EI_Uds?]]*EI_Enhedspris*((1+Tidstabel[[#This Row],[Kalkulationsrente]])^-Tidstabel[[#This Row],[År]])*((1+PrisudviklingGenerelt)^Tidstabel[[#This Row],[År]]))),BlankTegn)</f>
        <v>.</v>
      </c>
      <c r="BS75" s="262" t="str">
        <f>IFERROR(IF(Tidstabel[[#This Row],[År]]&gt;Input_Tidshorisont,BlankTegn,
IF(Tidstabel[[#This Row],[År]]=0,0,Tidstabel[[#This Row],[EI_Uds?]]*-EI_Enhedspris*EI_Genoprettelse*((1+Tidstabel[[#This Row],[Kalkulationsrente]])^-Tidstabel[[#This Row],[År]])*((1+PrisudviklingGenerelt)^Tidstabel[[#This Row],[År]]))),BlankTegn)</f>
        <v>.</v>
      </c>
      <c r="BT75" s="245" t="str">
        <f>IFERROR(IF(Tidstabel[[#This Row],[År]]&gt;Input_Tidshorisont,BlankTegn,
IF(Tidstabel[[#This Row],[År]]=0,-AP_Enhedspris,0)),BlankTegn)</f>
        <v>.</v>
      </c>
      <c r="BU75" s="245" t="str">
        <f>IFERROR(IF(Tidstabel[[#This Row],[År]]&gt;Input_Tidshorisont,BlankTegn,
IF(Tidstabel[[#This Row],[År]]=0,AP_Enhedspris/AP_Levetid,BU74*((1+Tidstabel[[#This Row],[Kalkulationsrente]])^-1)*((1+PrisudviklingGenerelt)^1))),BlankTegn)</f>
        <v>.</v>
      </c>
      <c r="BV75" s="178" t="str">
        <f ca="1">IFERROR(IF(Tidstabel[[#This Row],[År]]&gt;Input_Tidshorisont,BlankTegn,
IF(AP_Vedligehold_i=1,IF(Tidstabel[[#This Row],[AP_Uds?]]=0,1,0),IF(MAX(BV74:OFFSET(BW74,2-AP_Vedligehold_i,0),Tidstabel[[#This Row],[AP_Uds?]])=0,1,0))),BlankTegn)</f>
        <v>.</v>
      </c>
      <c r="BW75" s="178" t="str">
        <f>IFERROR(IF(Tidstabel[[#This Row],[År]]&gt;Input_Tidshorisont,BlankTegn,
IF(Tidstabel[[#This Row],[År]]=0,1,IF(MOD(Tidstabel[[#This Row],[År]],AP_Levetid)=0,1,IF(Tidstabel[[#This Row],[År]]=Input_Tidshorisont,0,0)))),BlankTegn)</f>
        <v>.</v>
      </c>
      <c r="BX75" s="245" t="str">
        <f>IFERROR(IF(Tidstabel[[#This Row],[År]]&gt;Input_Tidshorisont,BlankTegn,
AP_Vedligehold_p*-AP_Enhedspris*Tidstabel[[#This Row],[AP_Ved?]]*((1+Tidstabel[[#This Row],[Kalkulationsrente]])^-Tidstabel[[#This Row],[År]])*((1+PrisudviklingGenerelt)^Tidstabel[[#This Row],[År]])),BlankTegn)</f>
        <v>.</v>
      </c>
      <c r="BY75" s="245" t="str">
        <f>IFERROR(IF(Tidstabel[[#This Row],[År]]&gt;Input_Tidshorisont,BlankTegn,
IF(Tidstabel[[#This Row],[År]]=0,AP_Enhedspris,SUM(BY74:BZ74)*((1+Tidstabel[[#This Row],[Kalkulationsrente]])^-1)*((1+PrisudviklingGenerelt)^1)-Tidstabel[[#This Row],[AP_Afskrivning]])),BlankTegn)</f>
        <v>.</v>
      </c>
      <c r="BZ75" s="245" t="str">
        <f>IFERROR(IF(Tidstabel[[#This Row],[År]]&gt;Input_Tidshorisont,BlankTegn,
IF(Tidstabel[[#This Row],[År]]=0,0,Tidstabel[[#This Row],[AP_Uds?]]*AP_Enhedspris*((1+Tidstabel[[#This Row],[Kalkulationsrente]])^-Tidstabel[[#This Row],[År]])*((1+PrisudviklingGenerelt)^Tidstabel[[#This Row],[År]]))),BlankTegn)</f>
        <v>.</v>
      </c>
      <c r="CA75" s="262" t="str">
        <f>IFERROR(IF(Tidstabel[[#This Row],[År]]&gt;Input_Tidshorisont,BlankTegn,
IF(Tidstabel[[#This Row],[År]]=0,0,Tidstabel[[#This Row],[AP_Uds?]]*-AP_Enhedspris*AP_Genoprettelse*((1+Tidstabel[[#This Row],[Kalkulationsrente]])^-Tidstabel[[#This Row],[År]])*((1+PrisudviklingGenerelt)^Tidstabel[[#This Row],[År]]))),BlankTegn)</f>
        <v>.</v>
      </c>
      <c r="CB75" s="245" t="str">
        <f>IFERROR(IF(Tidstabel[[#This Row],[År]]&gt;Input_Tidshorisont,BlankTegn,
IF(Tidstabel[[#This Row],[År]]=0,-SK_Enhedspris,0)),BlankTegn)</f>
        <v>.</v>
      </c>
      <c r="CC75" s="245" t="str">
        <f>IFERROR(IF(Tidstabel[[#This Row],[År]]&gt;Input_Tidshorisont,BlankTegn,
IF(Tidstabel[[#This Row],[År]]=0,SK_Enhedspris/SK_Levetid,CC74*((1+Tidstabel[[#This Row],[Kalkulationsrente]])^-1)*((1+PrisudviklingGenerelt)^1))),BlankTegn)</f>
        <v>.</v>
      </c>
      <c r="CD75" s="178" t="str">
        <f ca="1">IFERROR(IF(Tidstabel[[#This Row],[År]]&gt;Input_Tidshorisont,BlankTegn,
IF(SK_Vedligehold_i=1,IF(Tidstabel[[#This Row],[SK_Uds?]]=0,1,0),IF(MAX(CD74:OFFSET(CE74,2-SK_Vedligehold_i,0),Tidstabel[[#This Row],[SK_Uds?]])=0,1,0))),BlankTegn)</f>
        <v>.</v>
      </c>
      <c r="CE75" s="178" t="str">
        <f>IFERROR(IF(Tidstabel[[#This Row],[År]]&gt;Input_Tidshorisont,BlankTegn,
IF(Tidstabel[[#This Row],[År]]=0,1,IF(MOD(Tidstabel[[#This Row],[År]],SK_Levetid)=0,1,IF(Tidstabel[[#This Row],[År]]=Input_Tidshorisont,0,0)))),BlankTegn)</f>
        <v>.</v>
      </c>
      <c r="CF75" s="245" t="str">
        <f>IFERROR(IF(Tidstabel[[#This Row],[År]]&gt;Input_Tidshorisont,BlankTegn,
SK_Vedligehold_p*-SK_Enhedspris*Tidstabel[[#This Row],[SK_Ved?]]*((1+Tidstabel[[#This Row],[Kalkulationsrente]])^-Tidstabel[[#This Row],[År]])*((1+PrisudviklingGenerelt)^Tidstabel[[#This Row],[År]])),BlankTegn)</f>
        <v>.</v>
      </c>
      <c r="CG75" s="245" t="str">
        <f>IFERROR(IF(Tidstabel[[#This Row],[År]]&gt;Input_Tidshorisont,BlankTegn,
IF(Tidstabel[[#This Row],[År]]=0,SK_Enhedspris,SUM(CG74:CH74)*((1+Tidstabel[[#This Row],[Kalkulationsrente]])^-1)*((1+PrisudviklingGenerelt)^1)-Tidstabel[[#This Row],[SK_Afskrivning]])),BlankTegn)</f>
        <v>.</v>
      </c>
      <c r="CH75" s="245" t="str">
        <f>IFERROR(IF(Tidstabel[[#This Row],[År]]&gt;Input_Tidshorisont,BlankTegn,
IF(Tidstabel[[#This Row],[År]]=0,0,Tidstabel[[#This Row],[SK_Uds?]]*SK_Enhedspris*((1+Tidstabel[[#This Row],[Kalkulationsrente]])^-Tidstabel[[#This Row],[År]])*((1+PrisudviklingGenerelt)^Tidstabel[[#This Row],[År]]))),BlankTegn)</f>
        <v>.</v>
      </c>
      <c r="CI75" s="262" t="str">
        <f>IFERROR(IF(Tidstabel[[#This Row],[År]]&gt;Input_Tidshorisont,BlankTegn,
IF(Tidstabel[[#This Row],[År]]=0,0,Tidstabel[[#This Row],[SK_Uds?]]*-SK_Enhedspris*SK_Genoprettelse*((1+Tidstabel[[#This Row],[Kalkulationsrente]])^-Tidstabel[[#This Row],[År]])*((1+PrisudviklingGenerelt)^Tidstabel[[#This Row],[År]]))),BlankTegn)</f>
        <v>.</v>
      </c>
      <c r="CJ75" s="19"/>
    </row>
    <row r="76" spans="1:88">
      <c r="A76" s="250">
        <v>69</v>
      </c>
      <c r="B76" s="250">
        <f>Input_Etableringsår+Tidstabel[[#This Row],[År]]</f>
        <v>2093</v>
      </c>
      <c r="C76" s="274" cm="1">
        <f t="array" ref="C76">_xlfn.IFS(Tidstabel[[#This Row],[År]]&gt;KR_Trin3_Tærskel,KR_Trin3_Rente,Tidstabel[[#This Row],[År]]&gt;KR_Trin2_Tærskel,KR_Trin2_Rente,Tidstabel[[#This Row],[År]]&gt;KR_Trin1_Tærskel,KR_Trin1_Rente,Tidstabel[[#This Row],[År]]&gt;KR_Trin0_Tærskel,KR_Trin0_Rente)</f>
        <v>2.5000000000000001E-2</v>
      </c>
      <c r="D76" s="142" t="str" cm="1">
        <f t="array" ref="D76">IFERROR(
INDEX(Range_Materiale_ÅrligeEmissioner,MATCH(1,(Materialedata[Komponent]=FB_Titel)*(Materialedata[Materiale]=FB_Materiale),0),MATCH(Tidstabel[[#This Row],[År]],Range_Materiale_År,0)),BlankTegn)</f>
        <v>.</v>
      </c>
      <c r="E76" s="142" t="str" cm="1">
        <f t="array" ref="E76">IFERROR(
INDEX(Range_Materiale_ÅrligeEmissioner,MATCH(1,(Materialedata[Komponent]=SK_Titel)*(Materialedata[Materiale]=SK_Materiale),0),MATCH(Tidstabel[[#This Row],[År]],Range_Materiale_År,0)),BlankTegn)</f>
        <v>.</v>
      </c>
      <c r="F76" s="142" t="str" cm="1">
        <f t="array" ref="F76">IFERROR(
INDEX(Range_Materiale_ÅrligeEmissioner,MATCH(1,(Materialedata[Komponent]=EI_Titel)*(Materialedata[Materiale]=EI_Materiale),0),MATCH(Tidstabel[[#This Row],[År]],Range_Materiale_År,0)),BlankTegn)</f>
        <v>.</v>
      </c>
      <c r="G76" s="142" t="str" cm="1">
        <f t="array" ref="G76">IFERROR(
INDEX(Range_Materiale_ÅrligeEmissioner,MATCH(1,(Materialedata[Komponent]=AP_Titel)*(Materialedata[Materiale]=AP_Materiale),0),MATCH(Tidstabel[[#This Row],[År]],Range_Materiale_År,0)),BlankTegn)</f>
        <v>.</v>
      </c>
      <c r="H76" s="142" t="str" cm="1">
        <f t="array" ref="H76">IFERROR(
INDEX(Range_Materiale_ÅrligeEmissioner,MATCH(1,(Materialedata[Komponent]=VS_Titel)*(Materialedata[Materiale]=VS_Materiale),0),MATCH(Tidstabel[[#This Row],[År]],Range_Materiale_År,0)),BlankTegn)</f>
        <v>.</v>
      </c>
      <c r="I76" s="142" t="str">
        <f>IFERROR(
IF(SUM(Tidstabel[[#This Row],[Facadebeklædning]:[Vindspærre]])=0,BlankTegn,
SUM(Tidstabel[[#This Row],[Facadebeklædning]:[Vindspærre]])),BlankTegn)</f>
        <v>.</v>
      </c>
      <c r="J76" s="139" t="str">
        <f>IF(Tidstabel[[#This Row],[År]]&gt;Input_Tidshorisont,BlankTegn,
A5_ElVarmeBrændstofByggeplads)</f>
        <v>.</v>
      </c>
      <c r="K76" s="142" t="str">
        <f>IFERROR(IF(Tidstabel[[#This Row],[År]]&gt;Input_Tidshorisont,BlankTegn,
-1*INDEX(Range_Energi_ÅrligBesparelse,MATCH(Input_EksisterendeFacade,Energiberegning[Ydervæg],0),MATCH(Tidstabel[[#This Row],[Årstal]],Range_Energi_Årstal,0))),BlankTegn)</f>
        <v>.</v>
      </c>
      <c r="L76" s="142" t="str">
        <f>IF(Tidstabel[[#This Row],[År]]&gt;Input_Tidshorisont,BlankTegn,
(Tidstabel[[#This Row],[År]]+1)*(SUM(Vedligeholdelsesmaterialer[Facadefarve],Vedligeholdelsesmaterialer[Grunder og mellemmaling])/12+SUM(Vedligeholdelsesmaterialer[Puds])/30))</f>
        <v>.</v>
      </c>
      <c r="M76" s="142" t="str">
        <f>IFERROR(IF(Tidstabel[[#This Row],[År]]&gt;Input_Tidshorisont,BlankTegn,
Tidstabel[[#This Row],[Materialer_Total]]+Tidstabel[[#This Row],[Byggeprocess]]),BlankTegn)</f>
        <v>.</v>
      </c>
      <c r="N76" s="142" t="str">
        <f>IFERROR(IF(Tidstabel[[#This Row],[År]]&gt;Input_Tidshorisont,BlankTegn,
Tidstabel[[#This Row],[Energibesparelse]]+Tidstabel[[#This Row],[Emission_Brutto]]),BlankTegn)</f>
        <v>.</v>
      </c>
      <c r="O76" s="142" t="str">
        <f>IFERROR(IF(Tidstabel[[#This Row],[År]]&gt;Input_Tidshorisont,BlankTegn,
Tidstabel[[#This Row],[Emission_Netto]]-Tidstabel[[#This Row],[Vedligehold_EksisterendeFacade]]),BlankTegn)</f>
        <v>.</v>
      </c>
      <c r="P76" s="271" t="str">
        <f>IFERROR(IF(Tidstabel[[#This Row],[År]]&gt;Input_Tidshorisont,BlankTegn,
IF(AND(Tidstabel[[#This Row],[Emission_Netto]]-Tidstabel[[#This Row],[Vedligehold_EksisterendeFacade]]&gt;0,N77-L77&lt;0),-1,IF(AND(Tidstabel[[#This Row],[Emission_Netto]]-Tidstabel[[#This Row],[Vedligehold_EksisterendeFacade]]&lt;0,N77-L77&gt;0),1,0))),BlankTegn)</f>
        <v>.</v>
      </c>
      <c r="Q76" s="174" t="str">
        <f>IF(Tidstabel[[#This Row],[År]]&gt;Input_Tidshorisont,BlankTegn,
IF(Tidstabel[[#This Row],[LCA-Skæring]]=-1,SUM(Tidstabel[[#This Row],[År]]*(1-ABS(Tidstabel[[#This Row],[LCA-Difference]])/(ABS(Tidstabel[[#This Row],[LCA-Difference]])+ABS(O77))),A77*(1-ABS(O77)/(ABS(Tidstabel[[#This Row],[LCA-Difference]])+ABS(O77)))),"-"))</f>
        <v>.</v>
      </c>
      <c r="R76" s="174" t="str">
        <f>IF(Tidstabel[[#This Row],[År]]&gt;Input_Tidshorisont,BlankTegn,
IF(Tidstabel[[#This Row],[LCA-Skæring]]=-1,SUM(Tidstabel[[#This Row],[Emission_Netto]]*(1-ABS(Tidstabel[[#This Row],[LCA-Difference]])/(ABS(Tidstabel[[#This Row],[LCA-Difference]])+ABS(O77))),N77*(1-ABS(O77)/(ABS(Tidstabel[[#This Row],[LCA-Difference]])+ABS(O77)))),"-"))</f>
        <v>.</v>
      </c>
      <c r="S76" s="174" t="str">
        <f>IF(Tidstabel[[#This Row],[År]]&gt;Input_Tidshorisont,BlankTegn,
IF(Tidstabel[[#This Row],[LCA-Skæring]]=1,SUM(Tidstabel[[#This Row],[År]]*(1-ABS(Tidstabel[[#This Row],[LCA-Difference]])/(ABS(Tidstabel[[#This Row],[LCA-Difference]])+ABS(O77))),A77*(1-ABS(O77)/(ABS(Tidstabel[[#This Row],[LCA-Difference]])+ABS(O77)))),"-"))</f>
        <v>.</v>
      </c>
      <c r="T76" s="264" t="str">
        <f>IF(Tidstabel[[#This Row],[År]]&gt;Input_Tidshorisont,BlankTegn,
IF(Tidstabel[[#This Row],[LCA-Skæring]]=1,SUM(Tidstabel[[#This Row],[Emission_Netto]]*(1-ABS(Tidstabel[[#This Row],[LCA-Difference]])/(ABS(Tidstabel[[#This Row],[LCA-Difference]])+ABS(O77))),N77*(1-ABS(O77)/(ABS(Tidstabel[[#This Row],[LCA-Difference]])+ABS(O77)))),"-"))</f>
        <v>.</v>
      </c>
      <c r="U76" s="142" t="str">
        <f>IFERROR(IF(Tidstabel[[#This Row],[År]]&gt;Input_Tidshorisont,BlankTegn,
Tidstabel[[#This Row],[NPV_Klimafacade]]-Tidstabel[[#This Row],[NPV_Eksisterende]]),BlankTegn)</f>
        <v>.</v>
      </c>
      <c r="V76" s="271" t="str">
        <f>IFERROR(IF(Tidstabel[[#This Row],[År]]&gt;Input_Tidshorisont,BlankTegn,
IF(AND(Tidstabel[[#This Row],[NPV_Klimafacade]]-Tidstabel[[#This Row],[NPV_Eksisterende]]&gt;0,AB77-AA77&lt;0),1,IF(AND(Tidstabel[[#This Row],[NPV_Klimafacade]]-Tidstabel[[#This Row],[NPV_Eksisterende]]&lt;0,AB77-AA77&gt;0),-1,0))),BlankTegn)</f>
        <v>.</v>
      </c>
      <c r="W76" s="174" t="str">
        <f>IF(Tidstabel[[#This Row],[År]]&gt;Input_Tidshorisont,BlankTegn,
IF(Tidstabel[[#This Row],[LCC-Skæring]]=-1,SUM(Tidstabel[[#This Row],[År]]*(1-ABS(Tidstabel[[#This Row],[LCC-Difference]])/(ABS(Tidstabel[[#This Row],[LCC-Difference]])+ABS(U77))),A77*(1-ABS(U77)/(ABS(Tidstabel[[#This Row],[LCC-Difference]])+ABS(U77)))),"-"))</f>
        <v>.</v>
      </c>
      <c r="X76" s="174" t="str">
        <f>IF(Tidstabel[[#This Row],[År]]&gt;Input_Tidshorisont,BlankTegn,
IF(Tidstabel[[#This Row],[LCC-Skæring]]=-1,SUM(Tidstabel[[#This Row],[NPV_Klimafacade]]*(1-ABS(Tidstabel[[#This Row],[LCC-Difference]])/(ABS(Tidstabel[[#This Row],[LCC-Difference]])+ABS(U77))),AB77*(1-ABS(U77)/(ABS(Tidstabel[[#This Row],[LCC-Difference]])+ABS(U77)))),"-"))</f>
        <v>.</v>
      </c>
      <c r="Y76" s="174" t="str">
        <f>IF(Tidstabel[[#This Row],[År]]&gt;Input_Tidshorisont,BlankTegn,
IF(Tidstabel[[#This Row],[LCC-Skæring]]=1,SUM(Tidstabel[[#This Row],[År]]*(1-ABS(Tidstabel[[#This Row],[LCC-Difference]])/(ABS(Tidstabel[[#This Row],[LCC-Difference]])+ABS(U77))),A77*(1-ABS(U77)/(ABS(Tidstabel[[#This Row],[LCC-Difference]])+ABS(U77)))),"-"))</f>
        <v>.</v>
      </c>
      <c r="Z76" s="264" t="str">
        <f>IF(Tidstabel[[#This Row],[År]]&gt;Input_Tidshorisont,BlankTegn,
IF(Tidstabel[[#This Row],[LCC-Skæring]]=1,SUM(Tidstabel[[#This Row],[NPV_Klimafacade]]*(1-ABS(Tidstabel[[#This Row],[LCC-Difference]])/(ABS(Tidstabel[[#This Row],[LCC-Difference]])+ABS(U77))),AB77*(1-ABS(U77)/(ABS(Tidstabel[[#This Row],[LCC-Difference]])+ABS(U77)))),"-"))</f>
        <v>.</v>
      </c>
      <c r="AA76" s="142" t="str">
        <f>IF(Tidstabel[[#This Row],[År]]&gt;Input_Tidshorisont,BlankTegn,
Tidstabel[[#This Row],[EF_Vedligehold_Aggregeret]])</f>
        <v>.</v>
      </c>
      <c r="AB76"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6" s="142" t="str">
        <f>IFERROR(IF(Tidstabel[[#This Row],[År]]&gt;Input_Tidshorisont,BlankTegn,
Tidstabel[[#This Row],[KF_Anskaffelse_Aggregeret]]+Tidstabel[[#This Row],[KF_Engangsudgifter_Aggregeret]]),BlankTegn)</f>
        <v>.</v>
      </c>
      <c r="AD76" s="174" t="str">
        <f>IFERROR(IF(Tidstabel[[#This Row],[År]]&gt;Input_Tidshorisont,BlankTegn,
IF(Tidstabel[[#This Row],[År]]=0,0,Tidstabel[[#This Row],[NPV_Eksisterende]]*(Tidstabel[[#This Row],[Kalkulationsrente]]/(1-(1+Tidstabel[[#This Row],[Kalkulationsrente]])^-Tidstabel[[#This Row],[År]])))),BlankTegn)</f>
        <v>.</v>
      </c>
      <c r="AE76" s="264" t="str">
        <f>IFERROR(IF(Tidstabel[[#This Row],[År]]&gt;Input_Tidshorisont,BlankTegn,
IF(Tidstabel[[#This Row],[År]]=0,0,Tidstabel[[#This Row],[NPV_Klimafacade]]*(Tidstabel[[#This Row],[Kalkulationsrente]]/(1-(1+Tidstabel[[#This Row],[Kalkulationsrente]])^-Tidstabel[[#This Row],[År]])))),BlankTegn)</f>
        <v>.</v>
      </c>
      <c r="AF76" s="270" t="str">
        <f ca="1">IF(Tidstabel[[#This Row],[År]]&gt;Input_Tidshorisont,BlankTegn,
IF(EF_Vedligehold_i=1,IF(Tidstabel[[#This Row],[EF_Uds?]]=0,1,0),IF(MAX(AF75:OFFSET(AG75,2-EF_Vedligehold_i,0),Tidstabel[[#This Row],[EF_Uds?]])=0,1,0)))</f>
        <v>.</v>
      </c>
      <c r="AG76" s="181" t="str">
        <f>IF(Tidstabel[[#This Row],[År]]&gt;Input_Tidshorisont,BlankTegn,0)</f>
        <v>.</v>
      </c>
      <c r="AH76" s="263" t="str">
        <f>IF(Tidstabel[[#This Row],[År]]&gt;Input_Tidshorisont,BlankTegn,
Tidstabel[[#This Row],[EF_Ved?]]*EF_Vedligehold_p*-EF_Enhedspris*((1+Tidstabel[[#This Row],[Kalkulationsrente]])^-Tidstabel[[#This Row],[År]])*((1+PrisudviklingGenerelt)^Tidstabel[[#This Row],[År]]))</f>
        <v>.</v>
      </c>
      <c r="AI76" s="262" t="str">
        <f>IF(Tidstabel[[#This Row],[År]]&gt;Input_Tidshorisont,BlankTegn,
IF(Tidstabel[[#This Row],[År]]=0,Tidstabel[[#This Row],[EF_Vedligehold]],AI75+Tidstabel[[#This Row],[EF_Vedligehold]]))</f>
        <v>.</v>
      </c>
      <c r="AJ76" s="245" t="str">
        <f>IFERROR(IF(Tidstabel[[#This Row],[År]]&gt;Input_Tidshorisont,BlankTegn,
Tidstabel[[#This Row],[FB_Anskaffelse]]+Tidstabel[[#This Row],[VS_Anskaffelse]]+Tidstabel[[#This Row],[EI_Anskaffelse]]+Tidstabel[[#This Row],[AP_Anskaffelse]]+Tidstabel[[#This Row],[SK_Anskaffelse]]),BlankTegn)</f>
        <v>.</v>
      </c>
      <c r="AK76" s="245" t="str">
        <f>IFERROR(IF(Tidstabel[[#This Row],[År]]&gt;Input_Tidshorisont,BlankTegn,
IF(Tidstabel[[#This Row],[År]]=0,Tidstabel[[#This Row],[KF_Anskaffelse]],AK75+Tidstabel[[#This Row],[KF_Anskaffelse]])),BlankTegn)</f>
        <v>.</v>
      </c>
      <c r="AL76" s="246" t="str">
        <f>IFERROR(IF(Tidstabel[[#This Row],[År]]&gt;Input_Tidshorisont,BlankTegn,
Tidstabel[[#This Row],[FB_Vedligehold]]+Tidstabel[[#This Row],[VS_Vedligehold]]+Tidstabel[[#This Row],[EI_Vedligehold]]+Tidstabel[[#This Row],[AP_Vedligehold]]+Tidstabel[[#This Row],[SK_Vedligehold]]),BlankTegn)</f>
        <v>.</v>
      </c>
      <c r="AM76" s="245" t="str">
        <f>IFERROR(IF(Tidstabel[[#This Row],[År]]&gt;Input_Tidshorisont,BlankTegn,
IF(Tidstabel[[#This Row],[År]]=0,Tidstabel[[#This Row],[KF_Vedligehold]],AM75+Tidstabel[[#This Row],[KF_Vedligehold]])),BlankTegn)</f>
        <v>.</v>
      </c>
      <c r="AN76"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76"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76" s="245" t="str">
        <f>IFERROR(IF(Tidstabel[[#This Row],[År]]&gt;Input_Tidshorisont,BlankTegn,
IF(Tidstabel[[#This Row],[År]]=0,Tidstabel[[#This Row],[KF_Udskiftning_Komponent]],AP75+Tidstabel[[#This Row],[KF_Udskiftning_Komponent]])),BlankTegn)</f>
        <v>.</v>
      </c>
      <c r="AQ76" s="245" t="str">
        <f>IF(Tidstabel[[#This Row],[År]]&gt;Input_Tidshorisont,BlankTegn,
IF(Tidstabel[[#This Row],[År]]=0,-SUM(Engangsudgifter[Udgift]),0))</f>
        <v>.</v>
      </c>
      <c r="AR76" s="245" t="str">
        <f>IFERROR(IF(Tidstabel[[#This Row],[År]]&gt;Input_Tidshorisont,BlankTegn,
IF(Tidstabel[[#This Row],[År]]=0,Tidstabel[[#This Row],[KF_Engangsudgifter]],AR75+Tidstabel[[#This Row],[KF_Engangsudgifter]])),BlankTegn)</f>
        <v>.</v>
      </c>
      <c r="AS76" s="315" t="str">
        <f>IFERROR(IF(Tidstabel[[#This Row],[År]]&gt;Input_Tidshorisont,BlankTegn,
-Energibesparelse_Årlig),BlankTegn)</f>
        <v>.</v>
      </c>
      <c r="AT76" s="245" t="str">
        <f>IFERROR(IF(Tidstabel[[#This Row],[År]]&gt;Input_Tidshorisont,BlankTegn,
IF(Tidstabel[[#This Row],[År]]=0,0,-Tidstabel[[#This Row],[KF_Energiforbrug]]*Input_Fjernvarmepris*((1+Tidstabel[[#This Row],[Kalkulationsrente]])^-Tidstabel[[#This Row],[År]])*((1+PrisudviklingFjernvarme)^Tidstabel[[#This Row],[År]]))),BlankTegn)</f>
        <v>.</v>
      </c>
      <c r="AU76" s="262" t="str">
        <f>IFERROR(IF(Tidstabel[[#This Row],[År]]&gt;Input_Tidshorisont,BlankTegn,
IF(Tidstabel[[#This Row],[År]]=0,Tidstabel[[#This Row],[KF_Forsyning]],AU75+Tidstabel[[#This Row],[KF_Forsyning]])),BlankTegn)</f>
        <v>.</v>
      </c>
      <c r="AV76" s="245" t="str">
        <f>IFERROR(IF(Tidstabel[[#This Row],[År]]&gt;Input_Tidshorisont,BlankTegn,
IF(Tidstabel[[#This Row],[År]]=0,-FB_Enhedspris,0)),BlankTegn)</f>
        <v>.</v>
      </c>
      <c r="AW76" s="245" t="str">
        <f>IFERROR(IF(Tidstabel[[#This Row],[År]]&gt;Input_Tidshorisont,BlankTegn,
IF(Tidstabel[[#This Row],[År]]=0,FB_Enhedspris/FB_Levetid,AW75*((1+Tidstabel[[#This Row],[Kalkulationsrente]])^-1)*((1+PrisudviklingGenerelt)^1))),BlankTegn)</f>
        <v>.</v>
      </c>
      <c r="AX76" s="178" t="str">
        <f ca="1">IFERROR(IF(Tidstabel[[#This Row],[År]]&gt;Input_Tidshorisont,BlankTegn,
IF(FB_Vedligehold_i=1,IF(Tidstabel[[#This Row],[FB_Uds?]]=0,1,0),IF(MAX(AX75:OFFSET(AY75,2-FB_Vedligehold_i,0),Tidstabel[[#This Row],[FB_Uds?]])=0,1,0))),BlankTegn)</f>
        <v>.</v>
      </c>
      <c r="AY76" s="178" t="str">
        <f>IFERROR(IF(Tidstabel[[#This Row],[År]]&gt;Input_Tidshorisont,BlankTegn,
IF(Tidstabel[[#This Row],[År]]=0,1,IF(MOD(Tidstabel[[#This Row],[År]],FB_Levetid)=0,1,IF(Tidstabel[[#This Row],[År]]=Input_Tidshorisont,0,0)))),BlankTegn)</f>
        <v>.</v>
      </c>
      <c r="AZ76" s="245" t="str">
        <f>IFERROR(IF(Tidstabel[[#This Row],[År]]&gt;Input_Tidshorisont,BlankTegn,
FB_Vedligehold_p*-FB_Enhedspris*Tidstabel[[#This Row],[FB_Ved?]]*((1+Tidstabel[[#This Row],[Kalkulationsrente]])^-Tidstabel[[#This Row],[År]])*((1+PrisudviklingGenerelt)^Tidstabel[[#This Row],[År]])),BlankTegn)</f>
        <v>.</v>
      </c>
      <c r="BA76" s="245" t="str">
        <f>IFERROR(IF(Tidstabel[[#This Row],[År]]&gt;Input_Tidshorisont,BlankTegn,
IF(Tidstabel[[#This Row],[År]]=0,FB_Enhedspris,SUM(BA75:BB75)*((1+Tidstabel[[#This Row],[Kalkulationsrente]])^-1)*((1+PrisudviklingGenerelt)^1)-Tidstabel[[#This Row],[FB_Afskrivning]])),BlankTegn)</f>
        <v>.</v>
      </c>
      <c r="BB76" s="245" t="str">
        <f>IFERROR(IF(Tidstabel[[#This Row],[År]]&gt;Input_Tidshorisont,BlankTegn,
IF(Tidstabel[[#This Row],[År]]=0,0,Tidstabel[[#This Row],[FB_Uds?]]*FB_Enhedspris*((1+Tidstabel[[#This Row],[Kalkulationsrente]])^-Tidstabel[[#This Row],[År]])*((1+PrisudviklingGenerelt)^Tidstabel[[#This Row],[År]]))),BlankTegn)</f>
        <v>.</v>
      </c>
      <c r="BC76" s="262" t="str">
        <f>IFERROR(IF(Tidstabel[[#This Row],[År]]&gt;Input_Tidshorisont,BlankTegn,
IF(Tidstabel[[#This Row],[År]]=0,0,Tidstabel[[#This Row],[FB_Uds?]]*-FB_Enhedspris*FB_Genoprettelse*((1+Tidstabel[[#This Row],[Kalkulationsrente]])^-Tidstabel[[#This Row],[År]])*((1+PrisudviklingGenerelt)^Tidstabel[[#This Row],[År]]))),BlankTegn)</f>
        <v>.</v>
      </c>
      <c r="BD76" s="245" t="str">
        <f>IFERROR(IF(Tidstabel[[#This Row],[År]]&gt;Input_Tidshorisont,BlankTegn,
IF(Tidstabel[[#This Row],[År]]=0,-VS_Enhedspris,0)),BlankTegn)</f>
        <v>.</v>
      </c>
      <c r="BE76" s="245" t="str">
        <f>IFERROR(IF(Tidstabel[[#This Row],[År]]&gt;Input_Tidshorisont,BlankTegn,
IF(Tidstabel[[#This Row],[År]]=0,VS_Enhedspris/VS_Levetid,BE75*((1+Tidstabel[[#This Row],[Kalkulationsrente]])^-1)*((1+PrisudviklingGenerelt)^1))),BlankTegn)</f>
        <v>.</v>
      </c>
      <c r="BF76" s="178" t="str">
        <f ca="1">IFERROR(IF(Tidstabel[[#This Row],[År]]&gt;Input_Tidshorisont,BlankTegn,
IF(VS_Vedligehold_i=1,IF(Tidstabel[[#This Row],[VS_Uds?]]=0,1,0),IF(MAX(BF75:OFFSET(BG75,2-VS_Vedligehold_i,0),Tidstabel[[#This Row],[VS_Uds?]])=0,1,0))),BlankTegn)</f>
        <v>.</v>
      </c>
      <c r="BG76" s="178" t="str">
        <f>IFERROR(IF(Tidstabel[[#This Row],[År]]&gt;Input_Tidshorisont,BlankTegn,
IF(Tidstabel[[#This Row],[År]]=0,1,IF(MOD(Tidstabel[[#This Row],[År]],VS_Levetid)=0,1,IF(Tidstabel[[#This Row],[År]]=Input_Tidshorisont,0,0)))),BlankTegn)</f>
        <v>.</v>
      </c>
      <c r="BH76" s="245" t="str">
        <f>IFERROR(IF(Tidstabel[[#This Row],[År]]&gt;Input_Tidshorisont,BlankTegn,
VS_Vedligehold_p*-VS_Enhedspris*Tidstabel[[#This Row],[VS_Ved?]]*((1+Tidstabel[[#This Row],[Kalkulationsrente]])^-Tidstabel[[#This Row],[År]])*((1+PrisudviklingGenerelt)^Tidstabel[[#This Row],[År]])),BlankTegn)</f>
        <v>.</v>
      </c>
      <c r="BI76" s="245" t="str">
        <f>IFERROR(IF(Tidstabel[[#This Row],[År]]&gt;Input_Tidshorisont,BlankTegn,
IF(Tidstabel[[#This Row],[År]]=0,VS_Enhedspris,SUM(BI75:BJ75)*((1+Tidstabel[[#This Row],[Kalkulationsrente]])^-1)*((1+PrisudviklingGenerelt)^1)-Tidstabel[[#This Row],[VS_Afskrivning]])),BlankTegn)</f>
        <v>.</v>
      </c>
      <c r="BJ76" s="245" t="str">
        <f>IFERROR(IF(Tidstabel[[#This Row],[År]]&gt;Input_Tidshorisont,BlankTegn,
IF(Tidstabel[[#This Row],[År]]=0,0,Tidstabel[[#This Row],[VS_Uds?]]*VS_Enhedspris*((1+Tidstabel[[#This Row],[Kalkulationsrente]])^-Tidstabel[[#This Row],[År]])*((1+PrisudviklingGenerelt)^Tidstabel[[#This Row],[År]]))),BlankTegn)</f>
        <v>.</v>
      </c>
      <c r="BK76" s="262" t="str">
        <f>IFERROR(IF(Tidstabel[[#This Row],[År]]&gt;Input_Tidshorisont,BlankTegn,
IF(Tidstabel[[#This Row],[År]]=0,0,Tidstabel[[#This Row],[VS_Uds?]]*-VS_Enhedspris*VS_Genoprettelse*((1+Tidstabel[[#This Row],[Kalkulationsrente]])^-Tidstabel[[#This Row],[År]])*((1+PrisudviklingGenerelt)^Tidstabel[[#This Row],[År]]))),BlankTegn)</f>
        <v>.</v>
      </c>
      <c r="BL76" s="245" t="str">
        <f>IFERROR(IF(Tidstabel[[#This Row],[År]]&gt;Input_Tidshorisont,BlankTegn,
IF(Tidstabel[[#This Row],[År]]=0,-EI_Enhedspris,0)),BlankTegn)</f>
        <v>.</v>
      </c>
      <c r="BM76" s="245" t="str">
        <f>IFERROR(IF(Tidstabel[[#This Row],[År]]&gt;Input_Tidshorisont,BlankTegn,
IF(Tidstabel[[#This Row],[År]]=0,EI_Enhedspris/EI_Levetid,BM75*((1+Tidstabel[[#This Row],[Kalkulationsrente]])^-1)*((1+PrisudviklingGenerelt)^1))),BlankTegn)</f>
        <v>.</v>
      </c>
      <c r="BN76" s="178" t="str">
        <f ca="1">IFERROR(IF(Tidstabel[[#This Row],[År]]&gt;Input_Tidshorisont,BlankTegn,
IF(EI_Vedligehold_i=1,IF(Tidstabel[[#This Row],[EI_Uds?]]=0,1,0),IF(MAX(BN75:OFFSET(BO75,2-EI_Vedligehold_i,0),Tidstabel[[#This Row],[EI_Uds?]])=0,1,0))),BlankTegn)</f>
        <v>.</v>
      </c>
      <c r="BO76" s="178" t="str">
        <f>IFERROR(IF(Tidstabel[[#This Row],[År]]&gt;Input_Tidshorisont,BlankTegn,
IF(Tidstabel[[#This Row],[År]]=0,1,IF(MOD(Tidstabel[[#This Row],[År]],EI_Levetid)=0,1,IF(Tidstabel[[#This Row],[År]]=Input_Tidshorisont,0,0)))),BlankTegn)</f>
        <v>.</v>
      </c>
      <c r="BP76" s="245" t="str">
        <f>IFERROR(IF(Tidstabel[[#This Row],[År]]&gt;Input_Tidshorisont,BlankTegn,
EI_Vedligehold_p*-EI_Enhedspris*Tidstabel[[#This Row],[EI_Ved?]]*((1+Tidstabel[[#This Row],[Kalkulationsrente]])^-Tidstabel[[#This Row],[År]])*((1+PrisudviklingGenerelt)^Tidstabel[[#This Row],[År]])),BlankTegn)</f>
        <v>.</v>
      </c>
      <c r="BQ76" s="245" t="str">
        <f>IFERROR(IF(Tidstabel[[#This Row],[År]]&gt;Input_Tidshorisont,BlankTegn,
IF(Tidstabel[[#This Row],[År]]=0,EI_Enhedspris,SUM(BQ75:BR75)*((1+Tidstabel[[#This Row],[Kalkulationsrente]])^-1)*((1+PrisudviklingGenerelt)^1)-Tidstabel[[#This Row],[EI_Afskrivning]])),BlankTegn)</f>
        <v>.</v>
      </c>
      <c r="BR76" s="245" t="str">
        <f>IFERROR(IF(Tidstabel[[#This Row],[År]]&gt;Input_Tidshorisont,BlankTegn,
IF(Tidstabel[[#This Row],[År]]=0,0,Tidstabel[[#This Row],[EI_Uds?]]*EI_Enhedspris*((1+Tidstabel[[#This Row],[Kalkulationsrente]])^-Tidstabel[[#This Row],[År]])*((1+PrisudviklingGenerelt)^Tidstabel[[#This Row],[År]]))),BlankTegn)</f>
        <v>.</v>
      </c>
      <c r="BS76" s="262" t="str">
        <f>IFERROR(IF(Tidstabel[[#This Row],[År]]&gt;Input_Tidshorisont,BlankTegn,
IF(Tidstabel[[#This Row],[År]]=0,0,Tidstabel[[#This Row],[EI_Uds?]]*-EI_Enhedspris*EI_Genoprettelse*((1+Tidstabel[[#This Row],[Kalkulationsrente]])^-Tidstabel[[#This Row],[År]])*((1+PrisudviklingGenerelt)^Tidstabel[[#This Row],[År]]))),BlankTegn)</f>
        <v>.</v>
      </c>
      <c r="BT76" s="245" t="str">
        <f>IFERROR(IF(Tidstabel[[#This Row],[År]]&gt;Input_Tidshorisont,BlankTegn,
IF(Tidstabel[[#This Row],[År]]=0,-AP_Enhedspris,0)),BlankTegn)</f>
        <v>.</v>
      </c>
      <c r="BU76" s="245" t="str">
        <f>IFERROR(IF(Tidstabel[[#This Row],[År]]&gt;Input_Tidshorisont,BlankTegn,
IF(Tidstabel[[#This Row],[År]]=0,AP_Enhedspris/AP_Levetid,BU75*((1+Tidstabel[[#This Row],[Kalkulationsrente]])^-1)*((1+PrisudviklingGenerelt)^1))),BlankTegn)</f>
        <v>.</v>
      </c>
      <c r="BV76" s="178" t="str">
        <f ca="1">IFERROR(IF(Tidstabel[[#This Row],[År]]&gt;Input_Tidshorisont,BlankTegn,
IF(AP_Vedligehold_i=1,IF(Tidstabel[[#This Row],[AP_Uds?]]=0,1,0),IF(MAX(BV75:OFFSET(BW75,2-AP_Vedligehold_i,0),Tidstabel[[#This Row],[AP_Uds?]])=0,1,0))),BlankTegn)</f>
        <v>.</v>
      </c>
      <c r="BW76" s="178" t="str">
        <f>IFERROR(IF(Tidstabel[[#This Row],[År]]&gt;Input_Tidshorisont,BlankTegn,
IF(Tidstabel[[#This Row],[År]]=0,1,IF(MOD(Tidstabel[[#This Row],[År]],AP_Levetid)=0,1,IF(Tidstabel[[#This Row],[År]]=Input_Tidshorisont,0,0)))),BlankTegn)</f>
        <v>.</v>
      </c>
      <c r="BX76" s="245" t="str">
        <f>IFERROR(IF(Tidstabel[[#This Row],[År]]&gt;Input_Tidshorisont,BlankTegn,
AP_Vedligehold_p*-AP_Enhedspris*Tidstabel[[#This Row],[AP_Ved?]]*((1+Tidstabel[[#This Row],[Kalkulationsrente]])^-Tidstabel[[#This Row],[År]])*((1+PrisudviklingGenerelt)^Tidstabel[[#This Row],[År]])),BlankTegn)</f>
        <v>.</v>
      </c>
      <c r="BY76" s="245" t="str">
        <f>IFERROR(IF(Tidstabel[[#This Row],[År]]&gt;Input_Tidshorisont,BlankTegn,
IF(Tidstabel[[#This Row],[År]]=0,AP_Enhedspris,SUM(BY75:BZ75)*((1+Tidstabel[[#This Row],[Kalkulationsrente]])^-1)*((1+PrisudviklingGenerelt)^1)-Tidstabel[[#This Row],[AP_Afskrivning]])),BlankTegn)</f>
        <v>.</v>
      </c>
      <c r="BZ76" s="245" t="str">
        <f>IFERROR(IF(Tidstabel[[#This Row],[År]]&gt;Input_Tidshorisont,BlankTegn,
IF(Tidstabel[[#This Row],[År]]=0,0,Tidstabel[[#This Row],[AP_Uds?]]*AP_Enhedspris*((1+Tidstabel[[#This Row],[Kalkulationsrente]])^-Tidstabel[[#This Row],[År]])*((1+PrisudviklingGenerelt)^Tidstabel[[#This Row],[År]]))),BlankTegn)</f>
        <v>.</v>
      </c>
      <c r="CA76" s="262" t="str">
        <f>IFERROR(IF(Tidstabel[[#This Row],[År]]&gt;Input_Tidshorisont,BlankTegn,
IF(Tidstabel[[#This Row],[År]]=0,0,Tidstabel[[#This Row],[AP_Uds?]]*-AP_Enhedspris*AP_Genoprettelse*((1+Tidstabel[[#This Row],[Kalkulationsrente]])^-Tidstabel[[#This Row],[År]])*((1+PrisudviklingGenerelt)^Tidstabel[[#This Row],[År]]))),BlankTegn)</f>
        <v>.</v>
      </c>
      <c r="CB76" s="245" t="str">
        <f>IFERROR(IF(Tidstabel[[#This Row],[År]]&gt;Input_Tidshorisont,BlankTegn,
IF(Tidstabel[[#This Row],[År]]=0,-SK_Enhedspris,0)),BlankTegn)</f>
        <v>.</v>
      </c>
      <c r="CC76" s="245" t="str">
        <f>IFERROR(IF(Tidstabel[[#This Row],[År]]&gt;Input_Tidshorisont,BlankTegn,
IF(Tidstabel[[#This Row],[År]]=0,SK_Enhedspris/SK_Levetid,CC75*((1+Tidstabel[[#This Row],[Kalkulationsrente]])^-1)*((1+PrisudviklingGenerelt)^1))),BlankTegn)</f>
        <v>.</v>
      </c>
      <c r="CD76" s="178" t="str">
        <f ca="1">IFERROR(IF(Tidstabel[[#This Row],[År]]&gt;Input_Tidshorisont,BlankTegn,
IF(SK_Vedligehold_i=1,IF(Tidstabel[[#This Row],[SK_Uds?]]=0,1,0),IF(MAX(CD75:OFFSET(CE75,2-SK_Vedligehold_i,0),Tidstabel[[#This Row],[SK_Uds?]])=0,1,0))),BlankTegn)</f>
        <v>.</v>
      </c>
      <c r="CE76" s="178" t="str">
        <f>IFERROR(IF(Tidstabel[[#This Row],[År]]&gt;Input_Tidshorisont,BlankTegn,
IF(Tidstabel[[#This Row],[År]]=0,1,IF(MOD(Tidstabel[[#This Row],[År]],SK_Levetid)=0,1,IF(Tidstabel[[#This Row],[År]]=Input_Tidshorisont,0,0)))),BlankTegn)</f>
        <v>.</v>
      </c>
      <c r="CF76" s="245" t="str">
        <f>IFERROR(IF(Tidstabel[[#This Row],[År]]&gt;Input_Tidshorisont,BlankTegn,
SK_Vedligehold_p*-SK_Enhedspris*Tidstabel[[#This Row],[SK_Ved?]]*((1+Tidstabel[[#This Row],[Kalkulationsrente]])^-Tidstabel[[#This Row],[År]])*((1+PrisudviklingGenerelt)^Tidstabel[[#This Row],[År]])),BlankTegn)</f>
        <v>.</v>
      </c>
      <c r="CG76" s="245" t="str">
        <f>IFERROR(IF(Tidstabel[[#This Row],[År]]&gt;Input_Tidshorisont,BlankTegn,
IF(Tidstabel[[#This Row],[År]]=0,SK_Enhedspris,SUM(CG75:CH75)*((1+Tidstabel[[#This Row],[Kalkulationsrente]])^-1)*((1+PrisudviklingGenerelt)^1)-Tidstabel[[#This Row],[SK_Afskrivning]])),BlankTegn)</f>
        <v>.</v>
      </c>
      <c r="CH76" s="245" t="str">
        <f>IFERROR(IF(Tidstabel[[#This Row],[År]]&gt;Input_Tidshorisont,BlankTegn,
IF(Tidstabel[[#This Row],[År]]=0,0,Tidstabel[[#This Row],[SK_Uds?]]*SK_Enhedspris*((1+Tidstabel[[#This Row],[Kalkulationsrente]])^-Tidstabel[[#This Row],[År]])*((1+PrisudviklingGenerelt)^Tidstabel[[#This Row],[År]]))),BlankTegn)</f>
        <v>.</v>
      </c>
      <c r="CI76" s="262" t="str">
        <f>IFERROR(IF(Tidstabel[[#This Row],[År]]&gt;Input_Tidshorisont,BlankTegn,
IF(Tidstabel[[#This Row],[År]]=0,0,Tidstabel[[#This Row],[SK_Uds?]]*-SK_Enhedspris*SK_Genoprettelse*((1+Tidstabel[[#This Row],[Kalkulationsrente]])^-Tidstabel[[#This Row],[År]])*((1+PrisudviklingGenerelt)^Tidstabel[[#This Row],[År]]))),BlankTegn)</f>
        <v>.</v>
      </c>
      <c r="CJ76" s="19"/>
    </row>
    <row r="77" spans="1:88">
      <c r="A77" s="250">
        <v>70</v>
      </c>
      <c r="B77" s="250">
        <f>Input_Etableringsår+Tidstabel[[#This Row],[År]]</f>
        <v>2094</v>
      </c>
      <c r="C77" s="274" cm="1">
        <f t="array" ref="C77">_xlfn.IFS(Tidstabel[[#This Row],[År]]&gt;KR_Trin3_Tærskel,KR_Trin3_Rente,Tidstabel[[#This Row],[År]]&gt;KR_Trin2_Tærskel,KR_Trin2_Rente,Tidstabel[[#This Row],[År]]&gt;KR_Trin1_Tærskel,KR_Trin1_Rente,Tidstabel[[#This Row],[År]]&gt;KR_Trin0_Tærskel,KR_Trin0_Rente)</f>
        <v>2.5000000000000001E-2</v>
      </c>
      <c r="D77" s="142" t="str" cm="1">
        <f t="array" ref="D77">IFERROR(
INDEX(Range_Materiale_ÅrligeEmissioner,MATCH(1,(Materialedata[Komponent]=FB_Titel)*(Materialedata[Materiale]=FB_Materiale),0),MATCH(Tidstabel[[#This Row],[År]],Range_Materiale_År,0)),BlankTegn)</f>
        <v>.</v>
      </c>
      <c r="E77" s="142" t="str" cm="1">
        <f t="array" ref="E77">IFERROR(
INDEX(Range_Materiale_ÅrligeEmissioner,MATCH(1,(Materialedata[Komponent]=SK_Titel)*(Materialedata[Materiale]=SK_Materiale),0),MATCH(Tidstabel[[#This Row],[År]],Range_Materiale_År,0)),BlankTegn)</f>
        <v>.</v>
      </c>
      <c r="F77" s="142" t="str" cm="1">
        <f t="array" ref="F77">IFERROR(
INDEX(Range_Materiale_ÅrligeEmissioner,MATCH(1,(Materialedata[Komponent]=EI_Titel)*(Materialedata[Materiale]=EI_Materiale),0),MATCH(Tidstabel[[#This Row],[År]],Range_Materiale_År,0)),BlankTegn)</f>
        <v>.</v>
      </c>
      <c r="G77" s="142" t="str" cm="1">
        <f t="array" ref="G77">IFERROR(
INDEX(Range_Materiale_ÅrligeEmissioner,MATCH(1,(Materialedata[Komponent]=AP_Titel)*(Materialedata[Materiale]=AP_Materiale),0),MATCH(Tidstabel[[#This Row],[År]],Range_Materiale_År,0)),BlankTegn)</f>
        <v>.</v>
      </c>
      <c r="H77" s="142" t="str" cm="1">
        <f t="array" ref="H77">IFERROR(
INDEX(Range_Materiale_ÅrligeEmissioner,MATCH(1,(Materialedata[Komponent]=VS_Titel)*(Materialedata[Materiale]=VS_Materiale),0),MATCH(Tidstabel[[#This Row],[År]],Range_Materiale_År,0)),BlankTegn)</f>
        <v>.</v>
      </c>
      <c r="I77" s="142" t="str">
        <f>IFERROR(
IF(SUM(Tidstabel[[#This Row],[Facadebeklædning]:[Vindspærre]])=0,BlankTegn,
SUM(Tidstabel[[#This Row],[Facadebeklædning]:[Vindspærre]])),BlankTegn)</f>
        <v>.</v>
      </c>
      <c r="J77" s="139" t="str">
        <f>IF(Tidstabel[[#This Row],[År]]&gt;Input_Tidshorisont,BlankTegn,
A5_ElVarmeBrændstofByggeplads)</f>
        <v>.</v>
      </c>
      <c r="K77" s="142" t="str">
        <f>IFERROR(IF(Tidstabel[[#This Row],[År]]&gt;Input_Tidshorisont,BlankTegn,
-1*INDEX(Range_Energi_ÅrligBesparelse,MATCH(Input_EksisterendeFacade,Energiberegning[Ydervæg],0),MATCH(Tidstabel[[#This Row],[Årstal]],Range_Energi_Årstal,0))),BlankTegn)</f>
        <v>.</v>
      </c>
      <c r="L77" s="142" t="str">
        <f>IF(Tidstabel[[#This Row],[År]]&gt;Input_Tidshorisont,BlankTegn,
(Tidstabel[[#This Row],[År]]+1)*(SUM(Vedligeholdelsesmaterialer[Facadefarve],Vedligeholdelsesmaterialer[Grunder og mellemmaling])/12+SUM(Vedligeholdelsesmaterialer[Puds])/30))</f>
        <v>.</v>
      </c>
      <c r="M77" s="142" t="str">
        <f>IFERROR(IF(Tidstabel[[#This Row],[År]]&gt;Input_Tidshorisont,BlankTegn,
Tidstabel[[#This Row],[Materialer_Total]]+Tidstabel[[#This Row],[Byggeprocess]]),BlankTegn)</f>
        <v>.</v>
      </c>
      <c r="N77" s="142" t="str">
        <f>IFERROR(IF(Tidstabel[[#This Row],[År]]&gt;Input_Tidshorisont,BlankTegn,
Tidstabel[[#This Row],[Energibesparelse]]+Tidstabel[[#This Row],[Emission_Brutto]]),BlankTegn)</f>
        <v>.</v>
      </c>
      <c r="O77" s="142" t="str">
        <f>IFERROR(IF(Tidstabel[[#This Row],[År]]&gt;Input_Tidshorisont,BlankTegn,
Tidstabel[[#This Row],[Emission_Netto]]-Tidstabel[[#This Row],[Vedligehold_EksisterendeFacade]]),BlankTegn)</f>
        <v>.</v>
      </c>
      <c r="P77" s="271" t="str">
        <f>IFERROR(IF(Tidstabel[[#This Row],[År]]&gt;Input_Tidshorisont,BlankTegn,
IF(AND(Tidstabel[[#This Row],[Emission_Netto]]-Tidstabel[[#This Row],[Vedligehold_EksisterendeFacade]]&gt;0,N78-L78&lt;0),-1,IF(AND(Tidstabel[[#This Row],[Emission_Netto]]-Tidstabel[[#This Row],[Vedligehold_EksisterendeFacade]]&lt;0,N78-L78&gt;0),1,0))),BlankTegn)</f>
        <v>.</v>
      </c>
      <c r="Q77" s="174" t="str">
        <f>IF(Tidstabel[[#This Row],[År]]&gt;Input_Tidshorisont,BlankTegn,
IF(Tidstabel[[#This Row],[LCA-Skæring]]=-1,SUM(Tidstabel[[#This Row],[År]]*(1-ABS(Tidstabel[[#This Row],[LCA-Difference]])/(ABS(Tidstabel[[#This Row],[LCA-Difference]])+ABS(O78))),A78*(1-ABS(O78)/(ABS(Tidstabel[[#This Row],[LCA-Difference]])+ABS(O78)))),"-"))</f>
        <v>.</v>
      </c>
      <c r="R77" s="174" t="str">
        <f>IF(Tidstabel[[#This Row],[År]]&gt;Input_Tidshorisont,BlankTegn,
IF(Tidstabel[[#This Row],[LCA-Skæring]]=-1,SUM(Tidstabel[[#This Row],[Emission_Netto]]*(1-ABS(Tidstabel[[#This Row],[LCA-Difference]])/(ABS(Tidstabel[[#This Row],[LCA-Difference]])+ABS(O78))),N78*(1-ABS(O78)/(ABS(Tidstabel[[#This Row],[LCA-Difference]])+ABS(O78)))),"-"))</f>
        <v>.</v>
      </c>
      <c r="S77" s="174" t="str">
        <f>IF(Tidstabel[[#This Row],[År]]&gt;Input_Tidshorisont,BlankTegn,
IF(Tidstabel[[#This Row],[LCA-Skæring]]=1,SUM(Tidstabel[[#This Row],[År]]*(1-ABS(Tidstabel[[#This Row],[LCA-Difference]])/(ABS(Tidstabel[[#This Row],[LCA-Difference]])+ABS(O78))),A78*(1-ABS(O78)/(ABS(Tidstabel[[#This Row],[LCA-Difference]])+ABS(O78)))),"-"))</f>
        <v>.</v>
      </c>
      <c r="T77" s="264" t="str">
        <f>IF(Tidstabel[[#This Row],[År]]&gt;Input_Tidshorisont,BlankTegn,
IF(Tidstabel[[#This Row],[LCA-Skæring]]=1,SUM(Tidstabel[[#This Row],[Emission_Netto]]*(1-ABS(Tidstabel[[#This Row],[LCA-Difference]])/(ABS(Tidstabel[[#This Row],[LCA-Difference]])+ABS(O78))),N78*(1-ABS(O78)/(ABS(Tidstabel[[#This Row],[LCA-Difference]])+ABS(O78)))),"-"))</f>
        <v>.</v>
      </c>
      <c r="U77" s="142" t="str">
        <f>IFERROR(IF(Tidstabel[[#This Row],[År]]&gt;Input_Tidshorisont,BlankTegn,
Tidstabel[[#This Row],[NPV_Klimafacade]]-Tidstabel[[#This Row],[NPV_Eksisterende]]),BlankTegn)</f>
        <v>.</v>
      </c>
      <c r="V77" s="271" t="str">
        <f>IFERROR(IF(Tidstabel[[#This Row],[År]]&gt;Input_Tidshorisont,BlankTegn,
IF(AND(Tidstabel[[#This Row],[NPV_Klimafacade]]-Tidstabel[[#This Row],[NPV_Eksisterende]]&gt;0,AB78-AA78&lt;0),1,IF(AND(Tidstabel[[#This Row],[NPV_Klimafacade]]-Tidstabel[[#This Row],[NPV_Eksisterende]]&lt;0,AB78-AA78&gt;0),-1,0))),BlankTegn)</f>
        <v>.</v>
      </c>
      <c r="W77" s="174" t="str">
        <f>IF(Tidstabel[[#This Row],[År]]&gt;Input_Tidshorisont,BlankTegn,
IF(Tidstabel[[#This Row],[LCC-Skæring]]=-1,SUM(Tidstabel[[#This Row],[År]]*(1-ABS(Tidstabel[[#This Row],[LCC-Difference]])/(ABS(Tidstabel[[#This Row],[LCC-Difference]])+ABS(U78))),A78*(1-ABS(U78)/(ABS(Tidstabel[[#This Row],[LCC-Difference]])+ABS(U78)))),"-"))</f>
        <v>.</v>
      </c>
      <c r="X77" s="174" t="str">
        <f>IF(Tidstabel[[#This Row],[År]]&gt;Input_Tidshorisont,BlankTegn,
IF(Tidstabel[[#This Row],[LCC-Skæring]]=-1,SUM(Tidstabel[[#This Row],[NPV_Klimafacade]]*(1-ABS(Tidstabel[[#This Row],[LCC-Difference]])/(ABS(Tidstabel[[#This Row],[LCC-Difference]])+ABS(U78))),AB78*(1-ABS(U78)/(ABS(Tidstabel[[#This Row],[LCC-Difference]])+ABS(U78)))),"-"))</f>
        <v>.</v>
      </c>
      <c r="Y77" s="174" t="str">
        <f>IF(Tidstabel[[#This Row],[År]]&gt;Input_Tidshorisont,BlankTegn,
IF(Tidstabel[[#This Row],[LCC-Skæring]]=1,SUM(Tidstabel[[#This Row],[År]]*(1-ABS(Tidstabel[[#This Row],[LCC-Difference]])/(ABS(Tidstabel[[#This Row],[LCC-Difference]])+ABS(U78))),A78*(1-ABS(U78)/(ABS(Tidstabel[[#This Row],[LCC-Difference]])+ABS(U78)))),"-"))</f>
        <v>.</v>
      </c>
      <c r="Z77" s="264" t="str">
        <f>IF(Tidstabel[[#This Row],[År]]&gt;Input_Tidshorisont,BlankTegn,
IF(Tidstabel[[#This Row],[LCC-Skæring]]=1,SUM(Tidstabel[[#This Row],[NPV_Klimafacade]]*(1-ABS(Tidstabel[[#This Row],[LCC-Difference]])/(ABS(Tidstabel[[#This Row],[LCC-Difference]])+ABS(U78))),AB78*(1-ABS(U78)/(ABS(Tidstabel[[#This Row],[LCC-Difference]])+ABS(U78)))),"-"))</f>
        <v>.</v>
      </c>
      <c r="AA77" s="142" t="str">
        <f>IF(Tidstabel[[#This Row],[År]]&gt;Input_Tidshorisont,BlankTegn,
Tidstabel[[#This Row],[EF_Vedligehold_Aggregeret]])</f>
        <v>.</v>
      </c>
      <c r="AB77"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7" s="142" t="str">
        <f>IFERROR(IF(Tidstabel[[#This Row],[År]]&gt;Input_Tidshorisont,BlankTegn,
Tidstabel[[#This Row],[KF_Anskaffelse_Aggregeret]]+Tidstabel[[#This Row],[KF_Engangsudgifter_Aggregeret]]),BlankTegn)</f>
        <v>.</v>
      </c>
      <c r="AD77" s="174" t="str">
        <f>IFERROR(IF(Tidstabel[[#This Row],[År]]&gt;Input_Tidshorisont,BlankTegn,
IF(Tidstabel[[#This Row],[År]]=0,0,Tidstabel[[#This Row],[NPV_Eksisterende]]*(Tidstabel[[#This Row],[Kalkulationsrente]]/(1-(1+Tidstabel[[#This Row],[Kalkulationsrente]])^-Tidstabel[[#This Row],[År]])))),BlankTegn)</f>
        <v>.</v>
      </c>
      <c r="AE77" s="264" t="str">
        <f>IFERROR(IF(Tidstabel[[#This Row],[År]]&gt;Input_Tidshorisont,BlankTegn,
IF(Tidstabel[[#This Row],[År]]=0,0,Tidstabel[[#This Row],[NPV_Klimafacade]]*(Tidstabel[[#This Row],[Kalkulationsrente]]/(1-(1+Tidstabel[[#This Row],[Kalkulationsrente]])^-Tidstabel[[#This Row],[År]])))),BlankTegn)</f>
        <v>.</v>
      </c>
      <c r="AF77" s="270" t="str">
        <f ca="1">IF(Tidstabel[[#This Row],[År]]&gt;Input_Tidshorisont,BlankTegn,
IF(EF_Vedligehold_i=1,IF(Tidstabel[[#This Row],[EF_Uds?]]=0,1,0),IF(MAX(AF76:OFFSET(AG76,2-EF_Vedligehold_i,0),Tidstabel[[#This Row],[EF_Uds?]])=0,1,0)))</f>
        <v>.</v>
      </c>
      <c r="AG77" s="181" t="str">
        <f>IF(Tidstabel[[#This Row],[År]]&gt;Input_Tidshorisont,BlankTegn,0)</f>
        <v>.</v>
      </c>
      <c r="AH77" s="263" t="str">
        <f>IF(Tidstabel[[#This Row],[År]]&gt;Input_Tidshorisont,BlankTegn,
Tidstabel[[#This Row],[EF_Ved?]]*EF_Vedligehold_p*-EF_Enhedspris*((1+Tidstabel[[#This Row],[Kalkulationsrente]])^-Tidstabel[[#This Row],[År]])*((1+PrisudviklingGenerelt)^Tidstabel[[#This Row],[År]]))</f>
        <v>.</v>
      </c>
      <c r="AI77" s="262" t="str">
        <f>IF(Tidstabel[[#This Row],[År]]&gt;Input_Tidshorisont,BlankTegn,
IF(Tidstabel[[#This Row],[År]]=0,Tidstabel[[#This Row],[EF_Vedligehold]],AI76+Tidstabel[[#This Row],[EF_Vedligehold]]))</f>
        <v>.</v>
      </c>
      <c r="AJ77" s="245" t="str">
        <f>IFERROR(IF(Tidstabel[[#This Row],[År]]&gt;Input_Tidshorisont,BlankTegn,
Tidstabel[[#This Row],[FB_Anskaffelse]]+Tidstabel[[#This Row],[VS_Anskaffelse]]+Tidstabel[[#This Row],[EI_Anskaffelse]]+Tidstabel[[#This Row],[AP_Anskaffelse]]+Tidstabel[[#This Row],[SK_Anskaffelse]]),BlankTegn)</f>
        <v>.</v>
      </c>
      <c r="AK77" s="245" t="str">
        <f>IFERROR(IF(Tidstabel[[#This Row],[År]]&gt;Input_Tidshorisont,BlankTegn,
IF(Tidstabel[[#This Row],[År]]=0,Tidstabel[[#This Row],[KF_Anskaffelse]],AK76+Tidstabel[[#This Row],[KF_Anskaffelse]])),BlankTegn)</f>
        <v>.</v>
      </c>
      <c r="AL77" s="246" t="str">
        <f>IFERROR(IF(Tidstabel[[#This Row],[År]]&gt;Input_Tidshorisont,BlankTegn,
Tidstabel[[#This Row],[FB_Vedligehold]]+Tidstabel[[#This Row],[VS_Vedligehold]]+Tidstabel[[#This Row],[EI_Vedligehold]]+Tidstabel[[#This Row],[AP_Vedligehold]]+Tidstabel[[#This Row],[SK_Vedligehold]]),BlankTegn)</f>
        <v>.</v>
      </c>
      <c r="AM77" s="245" t="str">
        <f>IFERROR(IF(Tidstabel[[#This Row],[År]]&gt;Input_Tidshorisont,BlankTegn,
IF(Tidstabel[[#This Row],[År]]=0,Tidstabel[[#This Row],[KF_Vedligehold]],AM76+Tidstabel[[#This Row],[KF_Vedligehold]])),BlankTegn)</f>
        <v>.</v>
      </c>
      <c r="AN77"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77"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77" s="245" t="str">
        <f>IFERROR(IF(Tidstabel[[#This Row],[År]]&gt;Input_Tidshorisont,BlankTegn,
IF(Tidstabel[[#This Row],[År]]=0,Tidstabel[[#This Row],[KF_Udskiftning_Komponent]],AP76+Tidstabel[[#This Row],[KF_Udskiftning_Komponent]])),BlankTegn)</f>
        <v>.</v>
      </c>
      <c r="AQ77" s="245" t="str">
        <f>IF(Tidstabel[[#This Row],[År]]&gt;Input_Tidshorisont,BlankTegn,
IF(Tidstabel[[#This Row],[År]]=0,-SUM(Engangsudgifter[Udgift]),0))</f>
        <v>.</v>
      </c>
      <c r="AR77" s="245" t="str">
        <f>IFERROR(IF(Tidstabel[[#This Row],[År]]&gt;Input_Tidshorisont,BlankTegn,
IF(Tidstabel[[#This Row],[År]]=0,Tidstabel[[#This Row],[KF_Engangsudgifter]],AR76+Tidstabel[[#This Row],[KF_Engangsudgifter]])),BlankTegn)</f>
        <v>.</v>
      </c>
      <c r="AS77" s="315" t="str">
        <f>IFERROR(IF(Tidstabel[[#This Row],[År]]&gt;Input_Tidshorisont,BlankTegn,
-Energibesparelse_Årlig),BlankTegn)</f>
        <v>.</v>
      </c>
      <c r="AT77" s="245" t="str">
        <f>IFERROR(IF(Tidstabel[[#This Row],[År]]&gt;Input_Tidshorisont,BlankTegn,
IF(Tidstabel[[#This Row],[År]]=0,0,-Tidstabel[[#This Row],[KF_Energiforbrug]]*Input_Fjernvarmepris*((1+Tidstabel[[#This Row],[Kalkulationsrente]])^-Tidstabel[[#This Row],[År]])*((1+PrisudviklingFjernvarme)^Tidstabel[[#This Row],[År]]))),BlankTegn)</f>
        <v>.</v>
      </c>
      <c r="AU77" s="262" t="str">
        <f>IFERROR(IF(Tidstabel[[#This Row],[År]]&gt;Input_Tidshorisont,BlankTegn,
IF(Tidstabel[[#This Row],[År]]=0,Tidstabel[[#This Row],[KF_Forsyning]],AU76+Tidstabel[[#This Row],[KF_Forsyning]])),BlankTegn)</f>
        <v>.</v>
      </c>
      <c r="AV77" s="245" t="str">
        <f>IFERROR(IF(Tidstabel[[#This Row],[År]]&gt;Input_Tidshorisont,BlankTegn,
IF(Tidstabel[[#This Row],[År]]=0,-FB_Enhedspris,0)),BlankTegn)</f>
        <v>.</v>
      </c>
      <c r="AW77" s="245" t="str">
        <f>IFERROR(IF(Tidstabel[[#This Row],[År]]&gt;Input_Tidshorisont,BlankTegn,
IF(Tidstabel[[#This Row],[År]]=0,FB_Enhedspris/FB_Levetid,AW76*((1+Tidstabel[[#This Row],[Kalkulationsrente]])^-1)*((1+PrisudviklingGenerelt)^1))),BlankTegn)</f>
        <v>.</v>
      </c>
      <c r="AX77" s="178" t="str">
        <f ca="1">IFERROR(IF(Tidstabel[[#This Row],[År]]&gt;Input_Tidshorisont,BlankTegn,
IF(FB_Vedligehold_i=1,IF(Tidstabel[[#This Row],[FB_Uds?]]=0,1,0),IF(MAX(AX76:OFFSET(AY76,2-FB_Vedligehold_i,0),Tidstabel[[#This Row],[FB_Uds?]])=0,1,0))),BlankTegn)</f>
        <v>.</v>
      </c>
      <c r="AY77" s="178" t="str">
        <f>IFERROR(IF(Tidstabel[[#This Row],[År]]&gt;Input_Tidshorisont,BlankTegn,
IF(Tidstabel[[#This Row],[År]]=0,1,IF(MOD(Tidstabel[[#This Row],[År]],FB_Levetid)=0,1,IF(Tidstabel[[#This Row],[År]]=Input_Tidshorisont,0,0)))),BlankTegn)</f>
        <v>.</v>
      </c>
      <c r="AZ77" s="245" t="str">
        <f>IFERROR(IF(Tidstabel[[#This Row],[År]]&gt;Input_Tidshorisont,BlankTegn,
FB_Vedligehold_p*-FB_Enhedspris*Tidstabel[[#This Row],[FB_Ved?]]*((1+Tidstabel[[#This Row],[Kalkulationsrente]])^-Tidstabel[[#This Row],[År]])*((1+PrisudviklingGenerelt)^Tidstabel[[#This Row],[År]])),BlankTegn)</f>
        <v>.</v>
      </c>
      <c r="BA77" s="245" t="str">
        <f>IFERROR(IF(Tidstabel[[#This Row],[År]]&gt;Input_Tidshorisont,BlankTegn,
IF(Tidstabel[[#This Row],[År]]=0,FB_Enhedspris,SUM(BA76:BB76)*((1+Tidstabel[[#This Row],[Kalkulationsrente]])^-1)*((1+PrisudviklingGenerelt)^1)-Tidstabel[[#This Row],[FB_Afskrivning]])),BlankTegn)</f>
        <v>.</v>
      </c>
      <c r="BB77" s="245" t="str">
        <f>IFERROR(IF(Tidstabel[[#This Row],[År]]&gt;Input_Tidshorisont,BlankTegn,
IF(Tidstabel[[#This Row],[År]]=0,0,Tidstabel[[#This Row],[FB_Uds?]]*FB_Enhedspris*((1+Tidstabel[[#This Row],[Kalkulationsrente]])^-Tidstabel[[#This Row],[År]])*((1+PrisudviklingGenerelt)^Tidstabel[[#This Row],[År]]))),BlankTegn)</f>
        <v>.</v>
      </c>
      <c r="BC77" s="262" t="str">
        <f>IFERROR(IF(Tidstabel[[#This Row],[År]]&gt;Input_Tidshorisont,BlankTegn,
IF(Tidstabel[[#This Row],[År]]=0,0,Tidstabel[[#This Row],[FB_Uds?]]*-FB_Enhedspris*FB_Genoprettelse*((1+Tidstabel[[#This Row],[Kalkulationsrente]])^-Tidstabel[[#This Row],[År]])*((1+PrisudviklingGenerelt)^Tidstabel[[#This Row],[År]]))),BlankTegn)</f>
        <v>.</v>
      </c>
      <c r="BD77" s="245" t="str">
        <f>IFERROR(IF(Tidstabel[[#This Row],[År]]&gt;Input_Tidshorisont,BlankTegn,
IF(Tidstabel[[#This Row],[År]]=0,-VS_Enhedspris,0)),BlankTegn)</f>
        <v>.</v>
      </c>
      <c r="BE77" s="245" t="str">
        <f>IFERROR(IF(Tidstabel[[#This Row],[År]]&gt;Input_Tidshorisont,BlankTegn,
IF(Tidstabel[[#This Row],[År]]=0,VS_Enhedspris/VS_Levetid,BE76*((1+Tidstabel[[#This Row],[Kalkulationsrente]])^-1)*((1+PrisudviklingGenerelt)^1))),BlankTegn)</f>
        <v>.</v>
      </c>
      <c r="BF77" s="178" t="str">
        <f ca="1">IFERROR(IF(Tidstabel[[#This Row],[År]]&gt;Input_Tidshorisont,BlankTegn,
IF(VS_Vedligehold_i=1,IF(Tidstabel[[#This Row],[VS_Uds?]]=0,1,0),IF(MAX(BF76:OFFSET(BG76,2-VS_Vedligehold_i,0),Tidstabel[[#This Row],[VS_Uds?]])=0,1,0))),BlankTegn)</f>
        <v>.</v>
      </c>
      <c r="BG77" s="178" t="str">
        <f>IFERROR(IF(Tidstabel[[#This Row],[År]]&gt;Input_Tidshorisont,BlankTegn,
IF(Tidstabel[[#This Row],[År]]=0,1,IF(MOD(Tidstabel[[#This Row],[År]],VS_Levetid)=0,1,IF(Tidstabel[[#This Row],[År]]=Input_Tidshorisont,0,0)))),BlankTegn)</f>
        <v>.</v>
      </c>
      <c r="BH77" s="245" t="str">
        <f>IFERROR(IF(Tidstabel[[#This Row],[År]]&gt;Input_Tidshorisont,BlankTegn,
VS_Vedligehold_p*-VS_Enhedspris*Tidstabel[[#This Row],[VS_Ved?]]*((1+Tidstabel[[#This Row],[Kalkulationsrente]])^-Tidstabel[[#This Row],[År]])*((1+PrisudviklingGenerelt)^Tidstabel[[#This Row],[År]])),BlankTegn)</f>
        <v>.</v>
      </c>
      <c r="BI77" s="245" t="str">
        <f>IFERROR(IF(Tidstabel[[#This Row],[År]]&gt;Input_Tidshorisont,BlankTegn,
IF(Tidstabel[[#This Row],[År]]=0,VS_Enhedspris,SUM(BI76:BJ76)*((1+Tidstabel[[#This Row],[Kalkulationsrente]])^-1)*((1+PrisudviklingGenerelt)^1)-Tidstabel[[#This Row],[VS_Afskrivning]])),BlankTegn)</f>
        <v>.</v>
      </c>
      <c r="BJ77" s="245" t="str">
        <f>IFERROR(IF(Tidstabel[[#This Row],[År]]&gt;Input_Tidshorisont,BlankTegn,
IF(Tidstabel[[#This Row],[År]]=0,0,Tidstabel[[#This Row],[VS_Uds?]]*VS_Enhedspris*((1+Tidstabel[[#This Row],[Kalkulationsrente]])^-Tidstabel[[#This Row],[År]])*((1+PrisudviklingGenerelt)^Tidstabel[[#This Row],[År]]))),BlankTegn)</f>
        <v>.</v>
      </c>
      <c r="BK77" s="262" t="str">
        <f>IFERROR(IF(Tidstabel[[#This Row],[År]]&gt;Input_Tidshorisont,BlankTegn,
IF(Tidstabel[[#This Row],[År]]=0,0,Tidstabel[[#This Row],[VS_Uds?]]*-VS_Enhedspris*VS_Genoprettelse*((1+Tidstabel[[#This Row],[Kalkulationsrente]])^-Tidstabel[[#This Row],[År]])*((1+PrisudviklingGenerelt)^Tidstabel[[#This Row],[År]]))),BlankTegn)</f>
        <v>.</v>
      </c>
      <c r="BL77" s="245" t="str">
        <f>IFERROR(IF(Tidstabel[[#This Row],[År]]&gt;Input_Tidshorisont,BlankTegn,
IF(Tidstabel[[#This Row],[År]]=0,-EI_Enhedspris,0)),BlankTegn)</f>
        <v>.</v>
      </c>
      <c r="BM77" s="245" t="str">
        <f>IFERROR(IF(Tidstabel[[#This Row],[År]]&gt;Input_Tidshorisont,BlankTegn,
IF(Tidstabel[[#This Row],[År]]=0,EI_Enhedspris/EI_Levetid,BM76*((1+Tidstabel[[#This Row],[Kalkulationsrente]])^-1)*((1+PrisudviklingGenerelt)^1))),BlankTegn)</f>
        <v>.</v>
      </c>
      <c r="BN77" s="178" t="str">
        <f ca="1">IFERROR(IF(Tidstabel[[#This Row],[År]]&gt;Input_Tidshorisont,BlankTegn,
IF(EI_Vedligehold_i=1,IF(Tidstabel[[#This Row],[EI_Uds?]]=0,1,0),IF(MAX(BN76:OFFSET(BO76,2-EI_Vedligehold_i,0),Tidstabel[[#This Row],[EI_Uds?]])=0,1,0))),BlankTegn)</f>
        <v>.</v>
      </c>
      <c r="BO77" s="178" t="str">
        <f>IFERROR(IF(Tidstabel[[#This Row],[År]]&gt;Input_Tidshorisont,BlankTegn,
IF(Tidstabel[[#This Row],[År]]=0,1,IF(MOD(Tidstabel[[#This Row],[År]],EI_Levetid)=0,1,IF(Tidstabel[[#This Row],[År]]=Input_Tidshorisont,0,0)))),BlankTegn)</f>
        <v>.</v>
      </c>
      <c r="BP77" s="245" t="str">
        <f>IFERROR(IF(Tidstabel[[#This Row],[År]]&gt;Input_Tidshorisont,BlankTegn,
EI_Vedligehold_p*-EI_Enhedspris*Tidstabel[[#This Row],[EI_Ved?]]*((1+Tidstabel[[#This Row],[Kalkulationsrente]])^-Tidstabel[[#This Row],[År]])*((1+PrisudviklingGenerelt)^Tidstabel[[#This Row],[År]])),BlankTegn)</f>
        <v>.</v>
      </c>
      <c r="BQ77" s="245" t="str">
        <f>IFERROR(IF(Tidstabel[[#This Row],[År]]&gt;Input_Tidshorisont,BlankTegn,
IF(Tidstabel[[#This Row],[År]]=0,EI_Enhedspris,SUM(BQ76:BR76)*((1+Tidstabel[[#This Row],[Kalkulationsrente]])^-1)*((1+PrisudviklingGenerelt)^1)-Tidstabel[[#This Row],[EI_Afskrivning]])),BlankTegn)</f>
        <v>.</v>
      </c>
      <c r="BR77" s="245" t="str">
        <f>IFERROR(IF(Tidstabel[[#This Row],[År]]&gt;Input_Tidshorisont,BlankTegn,
IF(Tidstabel[[#This Row],[År]]=0,0,Tidstabel[[#This Row],[EI_Uds?]]*EI_Enhedspris*((1+Tidstabel[[#This Row],[Kalkulationsrente]])^-Tidstabel[[#This Row],[År]])*((1+PrisudviklingGenerelt)^Tidstabel[[#This Row],[År]]))),BlankTegn)</f>
        <v>.</v>
      </c>
      <c r="BS77" s="262" t="str">
        <f>IFERROR(IF(Tidstabel[[#This Row],[År]]&gt;Input_Tidshorisont,BlankTegn,
IF(Tidstabel[[#This Row],[År]]=0,0,Tidstabel[[#This Row],[EI_Uds?]]*-EI_Enhedspris*EI_Genoprettelse*((1+Tidstabel[[#This Row],[Kalkulationsrente]])^-Tidstabel[[#This Row],[År]])*((1+PrisudviklingGenerelt)^Tidstabel[[#This Row],[År]]))),BlankTegn)</f>
        <v>.</v>
      </c>
      <c r="BT77" s="245" t="str">
        <f>IFERROR(IF(Tidstabel[[#This Row],[År]]&gt;Input_Tidshorisont,BlankTegn,
IF(Tidstabel[[#This Row],[År]]=0,-AP_Enhedspris,0)),BlankTegn)</f>
        <v>.</v>
      </c>
      <c r="BU77" s="245" t="str">
        <f>IFERROR(IF(Tidstabel[[#This Row],[År]]&gt;Input_Tidshorisont,BlankTegn,
IF(Tidstabel[[#This Row],[År]]=0,AP_Enhedspris/AP_Levetid,BU76*((1+Tidstabel[[#This Row],[Kalkulationsrente]])^-1)*((1+PrisudviklingGenerelt)^1))),BlankTegn)</f>
        <v>.</v>
      </c>
      <c r="BV77" s="178" t="str">
        <f ca="1">IFERROR(IF(Tidstabel[[#This Row],[År]]&gt;Input_Tidshorisont,BlankTegn,
IF(AP_Vedligehold_i=1,IF(Tidstabel[[#This Row],[AP_Uds?]]=0,1,0),IF(MAX(BV76:OFFSET(BW76,2-AP_Vedligehold_i,0),Tidstabel[[#This Row],[AP_Uds?]])=0,1,0))),BlankTegn)</f>
        <v>.</v>
      </c>
      <c r="BW77" s="178" t="str">
        <f>IFERROR(IF(Tidstabel[[#This Row],[År]]&gt;Input_Tidshorisont,BlankTegn,
IF(Tidstabel[[#This Row],[År]]=0,1,IF(MOD(Tidstabel[[#This Row],[År]],AP_Levetid)=0,1,IF(Tidstabel[[#This Row],[År]]=Input_Tidshorisont,0,0)))),BlankTegn)</f>
        <v>.</v>
      </c>
      <c r="BX77" s="245" t="str">
        <f>IFERROR(IF(Tidstabel[[#This Row],[År]]&gt;Input_Tidshorisont,BlankTegn,
AP_Vedligehold_p*-AP_Enhedspris*Tidstabel[[#This Row],[AP_Ved?]]*((1+Tidstabel[[#This Row],[Kalkulationsrente]])^-Tidstabel[[#This Row],[År]])*((1+PrisudviklingGenerelt)^Tidstabel[[#This Row],[År]])),BlankTegn)</f>
        <v>.</v>
      </c>
      <c r="BY77" s="245" t="str">
        <f>IFERROR(IF(Tidstabel[[#This Row],[År]]&gt;Input_Tidshorisont,BlankTegn,
IF(Tidstabel[[#This Row],[År]]=0,AP_Enhedspris,SUM(BY76:BZ76)*((1+Tidstabel[[#This Row],[Kalkulationsrente]])^-1)*((1+PrisudviklingGenerelt)^1)-Tidstabel[[#This Row],[AP_Afskrivning]])),BlankTegn)</f>
        <v>.</v>
      </c>
      <c r="BZ77" s="245" t="str">
        <f>IFERROR(IF(Tidstabel[[#This Row],[År]]&gt;Input_Tidshorisont,BlankTegn,
IF(Tidstabel[[#This Row],[År]]=0,0,Tidstabel[[#This Row],[AP_Uds?]]*AP_Enhedspris*((1+Tidstabel[[#This Row],[Kalkulationsrente]])^-Tidstabel[[#This Row],[År]])*((1+PrisudviklingGenerelt)^Tidstabel[[#This Row],[År]]))),BlankTegn)</f>
        <v>.</v>
      </c>
      <c r="CA77" s="262" t="str">
        <f>IFERROR(IF(Tidstabel[[#This Row],[År]]&gt;Input_Tidshorisont,BlankTegn,
IF(Tidstabel[[#This Row],[År]]=0,0,Tidstabel[[#This Row],[AP_Uds?]]*-AP_Enhedspris*AP_Genoprettelse*((1+Tidstabel[[#This Row],[Kalkulationsrente]])^-Tidstabel[[#This Row],[År]])*((1+PrisudviklingGenerelt)^Tidstabel[[#This Row],[År]]))),BlankTegn)</f>
        <v>.</v>
      </c>
      <c r="CB77" s="245" t="str">
        <f>IFERROR(IF(Tidstabel[[#This Row],[År]]&gt;Input_Tidshorisont,BlankTegn,
IF(Tidstabel[[#This Row],[År]]=0,-SK_Enhedspris,0)),BlankTegn)</f>
        <v>.</v>
      </c>
      <c r="CC77" s="245" t="str">
        <f>IFERROR(IF(Tidstabel[[#This Row],[År]]&gt;Input_Tidshorisont,BlankTegn,
IF(Tidstabel[[#This Row],[År]]=0,SK_Enhedspris/SK_Levetid,CC76*((1+Tidstabel[[#This Row],[Kalkulationsrente]])^-1)*((1+PrisudviklingGenerelt)^1))),BlankTegn)</f>
        <v>.</v>
      </c>
      <c r="CD77" s="178" t="str">
        <f ca="1">IFERROR(IF(Tidstabel[[#This Row],[År]]&gt;Input_Tidshorisont,BlankTegn,
IF(SK_Vedligehold_i=1,IF(Tidstabel[[#This Row],[SK_Uds?]]=0,1,0),IF(MAX(CD76:OFFSET(CE76,2-SK_Vedligehold_i,0),Tidstabel[[#This Row],[SK_Uds?]])=0,1,0))),BlankTegn)</f>
        <v>.</v>
      </c>
      <c r="CE77" s="178" t="str">
        <f>IFERROR(IF(Tidstabel[[#This Row],[År]]&gt;Input_Tidshorisont,BlankTegn,
IF(Tidstabel[[#This Row],[År]]=0,1,IF(MOD(Tidstabel[[#This Row],[År]],SK_Levetid)=0,1,IF(Tidstabel[[#This Row],[År]]=Input_Tidshorisont,0,0)))),BlankTegn)</f>
        <v>.</v>
      </c>
      <c r="CF77" s="245" t="str">
        <f>IFERROR(IF(Tidstabel[[#This Row],[År]]&gt;Input_Tidshorisont,BlankTegn,
SK_Vedligehold_p*-SK_Enhedspris*Tidstabel[[#This Row],[SK_Ved?]]*((1+Tidstabel[[#This Row],[Kalkulationsrente]])^-Tidstabel[[#This Row],[År]])*((1+PrisudviklingGenerelt)^Tidstabel[[#This Row],[År]])),BlankTegn)</f>
        <v>.</v>
      </c>
      <c r="CG77" s="245" t="str">
        <f>IFERROR(IF(Tidstabel[[#This Row],[År]]&gt;Input_Tidshorisont,BlankTegn,
IF(Tidstabel[[#This Row],[År]]=0,SK_Enhedspris,SUM(CG76:CH76)*((1+Tidstabel[[#This Row],[Kalkulationsrente]])^-1)*((1+PrisudviklingGenerelt)^1)-Tidstabel[[#This Row],[SK_Afskrivning]])),BlankTegn)</f>
        <v>.</v>
      </c>
      <c r="CH77" s="245" t="str">
        <f>IFERROR(IF(Tidstabel[[#This Row],[År]]&gt;Input_Tidshorisont,BlankTegn,
IF(Tidstabel[[#This Row],[År]]=0,0,Tidstabel[[#This Row],[SK_Uds?]]*SK_Enhedspris*((1+Tidstabel[[#This Row],[Kalkulationsrente]])^-Tidstabel[[#This Row],[År]])*((1+PrisudviklingGenerelt)^Tidstabel[[#This Row],[År]]))),BlankTegn)</f>
        <v>.</v>
      </c>
      <c r="CI77" s="262" t="str">
        <f>IFERROR(IF(Tidstabel[[#This Row],[År]]&gt;Input_Tidshorisont,BlankTegn,
IF(Tidstabel[[#This Row],[År]]=0,0,Tidstabel[[#This Row],[SK_Uds?]]*-SK_Enhedspris*SK_Genoprettelse*((1+Tidstabel[[#This Row],[Kalkulationsrente]])^-Tidstabel[[#This Row],[År]])*((1+PrisudviklingGenerelt)^Tidstabel[[#This Row],[År]]))),BlankTegn)</f>
        <v>.</v>
      </c>
      <c r="CJ77" s="19"/>
    </row>
    <row r="78" spans="1:88">
      <c r="A78" s="250">
        <v>71</v>
      </c>
      <c r="B78" s="250">
        <f>Input_Etableringsår+Tidstabel[[#This Row],[År]]</f>
        <v>2095</v>
      </c>
      <c r="C78" s="274" cm="1">
        <f t="array" ref="C78">_xlfn.IFS(Tidstabel[[#This Row],[År]]&gt;KR_Trin3_Tærskel,KR_Trin3_Rente,Tidstabel[[#This Row],[År]]&gt;KR_Trin2_Tærskel,KR_Trin2_Rente,Tidstabel[[#This Row],[År]]&gt;KR_Trin1_Tærskel,KR_Trin1_Rente,Tidstabel[[#This Row],[År]]&gt;KR_Trin0_Tærskel,KR_Trin0_Rente)</f>
        <v>1.4999999999999999E-2</v>
      </c>
      <c r="D78" s="142" t="str" cm="1">
        <f t="array" ref="D78">IFERROR(
INDEX(Range_Materiale_ÅrligeEmissioner,MATCH(1,(Materialedata[Komponent]=FB_Titel)*(Materialedata[Materiale]=FB_Materiale),0),MATCH(Tidstabel[[#This Row],[År]],Range_Materiale_År,0)),BlankTegn)</f>
        <v>.</v>
      </c>
      <c r="E78" s="142" t="str" cm="1">
        <f t="array" ref="E78">IFERROR(
INDEX(Range_Materiale_ÅrligeEmissioner,MATCH(1,(Materialedata[Komponent]=SK_Titel)*(Materialedata[Materiale]=SK_Materiale),0),MATCH(Tidstabel[[#This Row],[År]],Range_Materiale_År,0)),BlankTegn)</f>
        <v>.</v>
      </c>
      <c r="F78" s="142" t="str" cm="1">
        <f t="array" ref="F78">IFERROR(
INDEX(Range_Materiale_ÅrligeEmissioner,MATCH(1,(Materialedata[Komponent]=EI_Titel)*(Materialedata[Materiale]=EI_Materiale),0),MATCH(Tidstabel[[#This Row],[År]],Range_Materiale_År,0)),BlankTegn)</f>
        <v>.</v>
      </c>
      <c r="G78" s="142" t="str" cm="1">
        <f t="array" ref="G78">IFERROR(
INDEX(Range_Materiale_ÅrligeEmissioner,MATCH(1,(Materialedata[Komponent]=AP_Titel)*(Materialedata[Materiale]=AP_Materiale),0),MATCH(Tidstabel[[#This Row],[År]],Range_Materiale_År,0)),BlankTegn)</f>
        <v>.</v>
      </c>
      <c r="H78" s="142" t="str" cm="1">
        <f t="array" ref="H78">IFERROR(
INDEX(Range_Materiale_ÅrligeEmissioner,MATCH(1,(Materialedata[Komponent]=VS_Titel)*(Materialedata[Materiale]=VS_Materiale),0),MATCH(Tidstabel[[#This Row],[År]],Range_Materiale_År,0)),BlankTegn)</f>
        <v>.</v>
      </c>
      <c r="I78" s="142" t="str">
        <f>IFERROR(
IF(SUM(Tidstabel[[#This Row],[Facadebeklædning]:[Vindspærre]])=0,BlankTegn,
SUM(Tidstabel[[#This Row],[Facadebeklædning]:[Vindspærre]])),BlankTegn)</f>
        <v>.</v>
      </c>
      <c r="J78" s="139" t="str">
        <f>IF(Tidstabel[[#This Row],[År]]&gt;Input_Tidshorisont,BlankTegn,
A5_ElVarmeBrændstofByggeplads)</f>
        <v>.</v>
      </c>
      <c r="K78" s="142" t="str">
        <f>IFERROR(IF(Tidstabel[[#This Row],[År]]&gt;Input_Tidshorisont,BlankTegn,
-1*INDEX(Range_Energi_ÅrligBesparelse,MATCH(Input_EksisterendeFacade,Energiberegning[Ydervæg],0),MATCH(Tidstabel[[#This Row],[Årstal]],Range_Energi_Årstal,0))),BlankTegn)</f>
        <v>.</v>
      </c>
      <c r="L78" s="142" t="str">
        <f>IF(Tidstabel[[#This Row],[År]]&gt;Input_Tidshorisont,BlankTegn,
(Tidstabel[[#This Row],[År]]+1)*(SUM(Vedligeholdelsesmaterialer[Facadefarve],Vedligeholdelsesmaterialer[Grunder og mellemmaling])/12+SUM(Vedligeholdelsesmaterialer[Puds])/30))</f>
        <v>.</v>
      </c>
      <c r="M78" s="142" t="str">
        <f>IFERROR(IF(Tidstabel[[#This Row],[År]]&gt;Input_Tidshorisont,BlankTegn,
Tidstabel[[#This Row],[Materialer_Total]]+Tidstabel[[#This Row],[Byggeprocess]]),BlankTegn)</f>
        <v>.</v>
      </c>
      <c r="N78" s="142" t="str">
        <f>IFERROR(IF(Tidstabel[[#This Row],[År]]&gt;Input_Tidshorisont,BlankTegn,
Tidstabel[[#This Row],[Energibesparelse]]+Tidstabel[[#This Row],[Emission_Brutto]]),BlankTegn)</f>
        <v>.</v>
      </c>
      <c r="O78" s="142" t="str">
        <f>IFERROR(IF(Tidstabel[[#This Row],[År]]&gt;Input_Tidshorisont,BlankTegn,
Tidstabel[[#This Row],[Emission_Netto]]-Tidstabel[[#This Row],[Vedligehold_EksisterendeFacade]]),BlankTegn)</f>
        <v>.</v>
      </c>
      <c r="P78" s="271" t="str">
        <f>IFERROR(IF(Tidstabel[[#This Row],[År]]&gt;Input_Tidshorisont,BlankTegn,
IF(AND(Tidstabel[[#This Row],[Emission_Netto]]-Tidstabel[[#This Row],[Vedligehold_EksisterendeFacade]]&gt;0,N79-L79&lt;0),-1,IF(AND(Tidstabel[[#This Row],[Emission_Netto]]-Tidstabel[[#This Row],[Vedligehold_EksisterendeFacade]]&lt;0,N79-L79&gt;0),1,0))),BlankTegn)</f>
        <v>.</v>
      </c>
      <c r="Q78" s="174" t="str">
        <f>IF(Tidstabel[[#This Row],[År]]&gt;Input_Tidshorisont,BlankTegn,
IF(Tidstabel[[#This Row],[LCA-Skæring]]=-1,SUM(Tidstabel[[#This Row],[År]]*(1-ABS(Tidstabel[[#This Row],[LCA-Difference]])/(ABS(Tidstabel[[#This Row],[LCA-Difference]])+ABS(O79))),A79*(1-ABS(O79)/(ABS(Tidstabel[[#This Row],[LCA-Difference]])+ABS(O79)))),"-"))</f>
        <v>.</v>
      </c>
      <c r="R78" s="174" t="str">
        <f>IF(Tidstabel[[#This Row],[År]]&gt;Input_Tidshorisont,BlankTegn,
IF(Tidstabel[[#This Row],[LCA-Skæring]]=-1,SUM(Tidstabel[[#This Row],[Emission_Netto]]*(1-ABS(Tidstabel[[#This Row],[LCA-Difference]])/(ABS(Tidstabel[[#This Row],[LCA-Difference]])+ABS(O79))),N79*(1-ABS(O79)/(ABS(Tidstabel[[#This Row],[LCA-Difference]])+ABS(O79)))),"-"))</f>
        <v>.</v>
      </c>
      <c r="S78" s="174" t="str">
        <f>IF(Tidstabel[[#This Row],[År]]&gt;Input_Tidshorisont,BlankTegn,
IF(Tidstabel[[#This Row],[LCA-Skæring]]=1,SUM(Tidstabel[[#This Row],[År]]*(1-ABS(Tidstabel[[#This Row],[LCA-Difference]])/(ABS(Tidstabel[[#This Row],[LCA-Difference]])+ABS(O79))),A79*(1-ABS(O79)/(ABS(Tidstabel[[#This Row],[LCA-Difference]])+ABS(O79)))),"-"))</f>
        <v>.</v>
      </c>
      <c r="T78" s="264" t="str">
        <f>IF(Tidstabel[[#This Row],[År]]&gt;Input_Tidshorisont,BlankTegn,
IF(Tidstabel[[#This Row],[LCA-Skæring]]=1,SUM(Tidstabel[[#This Row],[Emission_Netto]]*(1-ABS(Tidstabel[[#This Row],[LCA-Difference]])/(ABS(Tidstabel[[#This Row],[LCA-Difference]])+ABS(O79))),N79*(1-ABS(O79)/(ABS(Tidstabel[[#This Row],[LCA-Difference]])+ABS(O79)))),"-"))</f>
        <v>.</v>
      </c>
      <c r="U78" s="142" t="str">
        <f>IFERROR(IF(Tidstabel[[#This Row],[År]]&gt;Input_Tidshorisont,BlankTegn,
Tidstabel[[#This Row],[NPV_Klimafacade]]-Tidstabel[[#This Row],[NPV_Eksisterende]]),BlankTegn)</f>
        <v>.</v>
      </c>
      <c r="V78" s="271" t="str">
        <f>IFERROR(IF(Tidstabel[[#This Row],[År]]&gt;Input_Tidshorisont,BlankTegn,
IF(AND(Tidstabel[[#This Row],[NPV_Klimafacade]]-Tidstabel[[#This Row],[NPV_Eksisterende]]&gt;0,AB79-AA79&lt;0),1,IF(AND(Tidstabel[[#This Row],[NPV_Klimafacade]]-Tidstabel[[#This Row],[NPV_Eksisterende]]&lt;0,AB79-AA79&gt;0),-1,0))),BlankTegn)</f>
        <v>.</v>
      </c>
      <c r="W78" s="174" t="str">
        <f>IF(Tidstabel[[#This Row],[År]]&gt;Input_Tidshorisont,BlankTegn,
IF(Tidstabel[[#This Row],[LCC-Skæring]]=-1,SUM(Tidstabel[[#This Row],[År]]*(1-ABS(Tidstabel[[#This Row],[LCC-Difference]])/(ABS(Tidstabel[[#This Row],[LCC-Difference]])+ABS(U79))),A79*(1-ABS(U79)/(ABS(Tidstabel[[#This Row],[LCC-Difference]])+ABS(U79)))),"-"))</f>
        <v>.</v>
      </c>
      <c r="X78" s="174" t="str">
        <f>IF(Tidstabel[[#This Row],[År]]&gt;Input_Tidshorisont,BlankTegn,
IF(Tidstabel[[#This Row],[LCC-Skæring]]=-1,SUM(Tidstabel[[#This Row],[NPV_Klimafacade]]*(1-ABS(Tidstabel[[#This Row],[LCC-Difference]])/(ABS(Tidstabel[[#This Row],[LCC-Difference]])+ABS(U79))),AB79*(1-ABS(U79)/(ABS(Tidstabel[[#This Row],[LCC-Difference]])+ABS(U79)))),"-"))</f>
        <v>.</v>
      </c>
      <c r="Y78" s="174" t="str">
        <f>IF(Tidstabel[[#This Row],[År]]&gt;Input_Tidshorisont,BlankTegn,
IF(Tidstabel[[#This Row],[LCC-Skæring]]=1,SUM(Tidstabel[[#This Row],[År]]*(1-ABS(Tidstabel[[#This Row],[LCC-Difference]])/(ABS(Tidstabel[[#This Row],[LCC-Difference]])+ABS(U79))),A79*(1-ABS(U79)/(ABS(Tidstabel[[#This Row],[LCC-Difference]])+ABS(U79)))),"-"))</f>
        <v>.</v>
      </c>
      <c r="Z78" s="264" t="str">
        <f>IF(Tidstabel[[#This Row],[År]]&gt;Input_Tidshorisont,BlankTegn,
IF(Tidstabel[[#This Row],[LCC-Skæring]]=1,SUM(Tidstabel[[#This Row],[NPV_Klimafacade]]*(1-ABS(Tidstabel[[#This Row],[LCC-Difference]])/(ABS(Tidstabel[[#This Row],[LCC-Difference]])+ABS(U79))),AB79*(1-ABS(U79)/(ABS(Tidstabel[[#This Row],[LCC-Difference]])+ABS(U79)))),"-"))</f>
        <v>.</v>
      </c>
      <c r="AA78" s="142" t="str">
        <f>IF(Tidstabel[[#This Row],[År]]&gt;Input_Tidshorisont,BlankTegn,
Tidstabel[[#This Row],[EF_Vedligehold_Aggregeret]])</f>
        <v>.</v>
      </c>
      <c r="AB78"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8" s="142" t="str">
        <f>IFERROR(IF(Tidstabel[[#This Row],[År]]&gt;Input_Tidshorisont,BlankTegn,
Tidstabel[[#This Row],[KF_Anskaffelse_Aggregeret]]+Tidstabel[[#This Row],[KF_Engangsudgifter_Aggregeret]]),BlankTegn)</f>
        <v>.</v>
      </c>
      <c r="AD78" s="174" t="str">
        <f>IFERROR(IF(Tidstabel[[#This Row],[År]]&gt;Input_Tidshorisont,BlankTegn,
IF(Tidstabel[[#This Row],[År]]=0,0,Tidstabel[[#This Row],[NPV_Eksisterende]]*(Tidstabel[[#This Row],[Kalkulationsrente]]/(1-(1+Tidstabel[[#This Row],[Kalkulationsrente]])^-Tidstabel[[#This Row],[År]])))),BlankTegn)</f>
        <v>.</v>
      </c>
      <c r="AE78" s="264" t="str">
        <f>IFERROR(IF(Tidstabel[[#This Row],[År]]&gt;Input_Tidshorisont,BlankTegn,
IF(Tidstabel[[#This Row],[År]]=0,0,Tidstabel[[#This Row],[NPV_Klimafacade]]*(Tidstabel[[#This Row],[Kalkulationsrente]]/(1-(1+Tidstabel[[#This Row],[Kalkulationsrente]])^-Tidstabel[[#This Row],[År]])))),BlankTegn)</f>
        <v>.</v>
      </c>
      <c r="AF78" s="270" t="str">
        <f ca="1">IF(Tidstabel[[#This Row],[År]]&gt;Input_Tidshorisont,BlankTegn,
IF(EF_Vedligehold_i=1,IF(Tidstabel[[#This Row],[EF_Uds?]]=0,1,0),IF(MAX(AF77:OFFSET(AG77,2-EF_Vedligehold_i,0),Tidstabel[[#This Row],[EF_Uds?]])=0,1,0)))</f>
        <v>.</v>
      </c>
      <c r="AG78" s="181" t="str">
        <f>IF(Tidstabel[[#This Row],[År]]&gt;Input_Tidshorisont,BlankTegn,0)</f>
        <v>.</v>
      </c>
      <c r="AH78" s="263" t="str">
        <f>IF(Tidstabel[[#This Row],[År]]&gt;Input_Tidshorisont,BlankTegn,
Tidstabel[[#This Row],[EF_Ved?]]*EF_Vedligehold_p*-EF_Enhedspris*((1+Tidstabel[[#This Row],[Kalkulationsrente]])^-Tidstabel[[#This Row],[År]])*((1+PrisudviklingGenerelt)^Tidstabel[[#This Row],[År]]))</f>
        <v>.</v>
      </c>
      <c r="AI78" s="262" t="str">
        <f>IF(Tidstabel[[#This Row],[År]]&gt;Input_Tidshorisont,BlankTegn,
IF(Tidstabel[[#This Row],[År]]=0,Tidstabel[[#This Row],[EF_Vedligehold]],AI77+Tidstabel[[#This Row],[EF_Vedligehold]]))</f>
        <v>.</v>
      </c>
      <c r="AJ78" s="245" t="str">
        <f>IFERROR(IF(Tidstabel[[#This Row],[År]]&gt;Input_Tidshorisont,BlankTegn,
Tidstabel[[#This Row],[FB_Anskaffelse]]+Tidstabel[[#This Row],[VS_Anskaffelse]]+Tidstabel[[#This Row],[EI_Anskaffelse]]+Tidstabel[[#This Row],[AP_Anskaffelse]]+Tidstabel[[#This Row],[SK_Anskaffelse]]),BlankTegn)</f>
        <v>.</v>
      </c>
      <c r="AK78" s="245" t="str">
        <f>IFERROR(IF(Tidstabel[[#This Row],[År]]&gt;Input_Tidshorisont,BlankTegn,
IF(Tidstabel[[#This Row],[År]]=0,Tidstabel[[#This Row],[KF_Anskaffelse]],AK77+Tidstabel[[#This Row],[KF_Anskaffelse]])),BlankTegn)</f>
        <v>.</v>
      </c>
      <c r="AL78" s="246" t="str">
        <f>IFERROR(IF(Tidstabel[[#This Row],[År]]&gt;Input_Tidshorisont,BlankTegn,
Tidstabel[[#This Row],[FB_Vedligehold]]+Tidstabel[[#This Row],[VS_Vedligehold]]+Tidstabel[[#This Row],[EI_Vedligehold]]+Tidstabel[[#This Row],[AP_Vedligehold]]+Tidstabel[[#This Row],[SK_Vedligehold]]),BlankTegn)</f>
        <v>.</v>
      </c>
      <c r="AM78" s="245" t="str">
        <f>IFERROR(IF(Tidstabel[[#This Row],[År]]&gt;Input_Tidshorisont,BlankTegn,
IF(Tidstabel[[#This Row],[År]]=0,Tidstabel[[#This Row],[KF_Vedligehold]],AM77+Tidstabel[[#This Row],[KF_Vedligehold]])),BlankTegn)</f>
        <v>.</v>
      </c>
      <c r="AN78"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78"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78" s="245" t="str">
        <f>IFERROR(IF(Tidstabel[[#This Row],[År]]&gt;Input_Tidshorisont,BlankTegn,
IF(Tidstabel[[#This Row],[År]]=0,Tidstabel[[#This Row],[KF_Udskiftning_Komponent]],AP77+Tidstabel[[#This Row],[KF_Udskiftning_Komponent]])),BlankTegn)</f>
        <v>.</v>
      </c>
      <c r="AQ78" s="245" t="str">
        <f>IF(Tidstabel[[#This Row],[År]]&gt;Input_Tidshorisont,BlankTegn,
IF(Tidstabel[[#This Row],[År]]=0,-SUM(Engangsudgifter[Udgift]),0))</f>
        <v>.</v>
      </c>
      <c r="AR78" s="245" t="str">
        <f>IFERROR(IF(Tidstabel[[#This Row],[År]]&gt;Input_Tidshorisont,BlankTegn,
IF(Tidstabel[[#This Row],[År]]=0,Tidstabel[[#This Row],[KF_Engangsudgifter]],AR77+Tidstabel[[#This Row],[KF_Engangsudgifter]])),BlankTegn)</f>
        <v>.</v>
      </c>
      <c r="AS78" s="315" t="str">
        <f>IFERROR(IF(Tidstabel[[#This Row],[År]]&gt;Input_Tidshorisont,BlankTegn,
-Energibesparelse_Årlig),BlankTegn)</f>
        <v>.</v>
      </c>
      <c r="AT78" s="245" t="str">
        <f>IFERROR(IF(Tidstabel[[#This Row],[År]]&gt;Input_Tidshorisont,BlankTegn,
IF(Tidstabel[[#This Row],[År]]=0,0,-Tidstabel[[#This Row],[KF_Energiforbrug]]*Input_Fjernvarmepris*((1+Tidstabel[[#This Row],[Kalkulationsrente]])^-Tidstabel[[#This Row],[År]])*((1+PrisudviklingFjernvarme)^Tidstabel[[#This Row],[År]]))),BlankTegn)</f>
        <v>.</v>
      </c>
      <c r="AU78" s="262" t="str">
        <f>IFERROR(IF(Tidstabel[[#This Row],[År]]&gt;Input_Tidshorisont,BlankTegn,
IF(Tidstabel[[#This Row],[År]]=0,Tidstabel[[#This Row],[KF_Forsyning]],AU77+Tidstabel[[#This Row],[KF_Forsyning]])),BlankTegn)</f>
        <v>.</v>
      </c>
      <c r="AV78" s="245" t="str">
        <f>IFERROR(IF(Tidstabel[[#This Row],[År]]&gt;Input_Tidshorisont,BlankTegn,
IF(Tidstabel[[#This Row],[År]]=0,-FB_Enhedspris,0)),BlankTegn)</f>
        <v>.</v>
      </c>
      <c r="AW78" s="245" t="str">
        <f>IFERROR(IF(Tidstabel[[#This Row],[År]]&gt;Input_Tidshorisont,BlankTegn,
IF(Tidstabel[[#This Row],[År]]=0,FB_Enhedspris/FB_Levetid,AW77*((1+Tidstabel[[#This Row],[Kalkulationsrente]])^-1)*((1+PrisudviklingGenerelt)^1))),BlankTegn)</f>
        <v>.</v>
      </c>
      <c r="AX78" s="178" t="str">
        <f ca="1">IFERROR(IF(Tidstabel[[#This Row],[År]]&gt;Input_Tidshorisont,BlankTegn,
IF(FB_Vedligehold_i=1,IF(Tidstabel[[#This Row],[FB_Uds?]]=0,1,0),IF(MAX(AX77:OFFSET(AY77,2-FB_Vedligehold_i,0),Tidstabel[[#This Row],[FB_Uds?]])=0,1,0))),BlankTegn)</f>
        <v>.</v>
      </c>
      <c r="AY78" s="178" t="str">
        <f>IFERROR(IF(Tidstabel[[#This Row],[År]]&gt;Input_Tidshorisont,BlankTegn,
IF(Tidstabel[[#This Row],[År]]=0,1,IF(MOD(Tidstabel[[#This Row],[År]],FB_Levetid)=0,1,IF(Tidstabel[[#This Row],[År]]=Input_Tidshorisont,0,0)))),BlankTegn)</f>
        <v>.</v>
      </c>
      <c r="AZ78" s="245" t="str">
        <f>IFERROR(IF(Tidstabel[[#This Row],[År]]&gt;Input_Tidshorisont,BlankTegn,
FB_Vedligehold_p*-FB_Enhedspris*Tidstabel[[#This Row],[FB_Ved?]]*((1+Tidstabel[[#This Row],[Kalkulationsrente]])^-Tidstabel[[#This Row],[År]])*((1+PrisudviklingGenerelt)^Tidstabel[[#This Row],[År]])),BlankTegn)</f>
        <v>.</v>
      </c>
      <c r="BA78" s="245" t="str">
        <f>IFERROR(IF(Tidstabel[[#This Row],[År]]&gt;Input_Tidshorisont,BlankTegn,
IF(Tidstabel[[#This Row],[År]]=0,FB_Enhedspris,SUM(BA77:BB77)*((1+Tidstabel[[#This Row],[Kalkulationsrente]])^-1)*((1+PrisudviklingGenerelt)^1)-Tidstabel[[#This Row],[FB_Afskrivning]])),BlankTegn)</f>
        <v>.</v>
      </c>
      <c r="BB78" s="245" t="str">
        <f>IFERROR(IF(Tidstabel[[#This Row],[År]]&gt;Input_Tidshorisont,BlankTegn,
IF(Tidstabel[[#This Row],[År]]=0,0,Tidstabel[[#This Row],[FB_Uds?]]*FB_Enhedspris*((1+Tidstabel[[#This Row],[Kalkulationsrente]])^-Tidstabel[[#This Row],[År]])*((1+PrisudviklingGenerelt)^Tidstabel[[#This Row],[År]]))),BlankTegn)</f>
        <v>.</v>
      </c>
      <c r="BC78" s="262" t="str">
        <f>IFERROR(IF(Tidstabel[[#This Row],[År]]&gt;Input_Tidshorisont,BlankTegn,
IF(Tidstabel[[#This Row],[År]]=0,0,Tidstabel[[#This Row],[FB_Uds?]]*-FB_Enhedspris*FB_Genoprettelse*((1+Tidstabel[[#This Row],[Kalkulationsrente]])^-Tidstabel[[#This Row],[År]])*((1+PrisudviklingGenerelt)^Tidstabel[[#This Row],[År]]))),BlankTegn)</f>
        <v>.</v>
      </c>
      <c r="BD78" s="245" t="str">
        <f>IFERROR(IF(Tidstabel[[#This Row],[År]]&gt;Input_Tidshorisont,BlankTegn,
IF(Tidstabel[[#This Row],[År]]=0,-VS_Enhedspris,0)),BlankTegn)</f>
        <v>.</v>
      </c>
      <c r="BE78" s="245" t="str">
        <f>IFERROR(IF(Tidstabel[[#This Row],[År]]&gt;Input_Tidshorisont,BlankTegn,
IF(Tidstabel[[#This Row],[År]]=0,VS_Enhedspris/VS_Levetid,BE77*((1+Tidstabel[[#This Row],[Kalkulationsrente]])^-1)*((1+PrisudviklingGenerelt)^1))),BlankTegn)</f>
        <v>.</v>
      </c>
      <c r="BF78" s="178" t="str">
        <f ca="1">IFERROR(IF(Tidstabel[[#This Row],[År]]&gt;Input_Tidshorisont,BlankTegn,
IF(VS_Vedligehold_i=1,IF(Tidstabel[[#This Row],[VS_Uds?]]=0,1,0),IF(MAX(BF77:OFFSET(BG77,2-VS_Vedligehold_i,0),Tidstabel[[#This Row],[VS_Uds?]])=0,1,0))),BlankTegn)</f>
        <v>.</v>
      </c>
      <c r="BG78" s="178" t="str">
        <f>IFERROR(IF(Tidstabel[[#This Row],[År]]&gt;Input_Tidshorisont,BlankTegn,
IF(Tidstabel[[#This Row],[År]]=0,1,IF(MOD(Tidstabel[[#This Row],[År]],VS_Levetid)=0,1,IF(Tidstabel[[#This Row],[År]]=Input_Tidshorisont,0,0)))),BlankTegn)</f>
        <v>.</v>
      </c>
      <c r="BH78" s="245" t="str">
        <f>IFERROR(IF(Tidstabel[[#This Row],[År]]&gt;Input_Tidshorisont,BlankTegn,
VS_Vedligehold_p*-VS_Enhedspris*Tidstabel[[#This Row],[VS_Ved?]]*((1+Tidstabel[[#This Row],[Kalkulationsrente]])^-Tidstabel[[#This Row],[År]])*((1+PrisudviklingGenerelt)^Tidstabel[[#This Row],[År]])),BlankTegn)</f>
        <v>.</v>
      </c>
      <c r="BI78" s="245" t="str">
        <f>IFERROR(IF(Tidstabel[[#This Row],[År]]&gt;Input_Tidshorisont,BlankTegn,
IF(Tidstabel[[#This Row],[År]]=0,VS_Enhedspris,SUM(BI77:BJ77)*((1+Tidstabel[[#This Row],[Kalkulationsrente]])^-1)*((1+PrisudviklingGenerelt)^1)-Tidstabel[[#This Row],[VS_Afskrivning]])),BlankTegn)</f>
        <v>.</v>
      </c>
      <c r="BJ78" s="245" t="str">
        <f>IFERROR(IF(Tidstabel[[#This Row],[År]]&gt;Input_Tidshorisont,BlankTegn,
IF(Tidstabel[[#This Row],[År]]=0,0,Tidstabel[[#This Row],[VS_Uds?]]*VS_Enhedspris*((1+Tidstabel[[#This Row],[Kalkulationsrente]])^-Tidstabel[[#This Row],[År]])*((1+PrisudviklingGenerelt)^Tidstabel[[#This Row],[År]]))),BlankTegn)</f>
        <v>.</v>
      </c>
      <c r="BK78" s="262" t="str">
        <f>IFERROR(IF(Tidstabel[[#This Row],[År]]&gt;Input_Tidshorisont,BlankTegn,
IF(Tidstabel[[#This Row],[År]]=0,0,Tidstabel[[#This Row],[VS_Uds?]]*-VS_Enhedspris*VS_Genoprettelse*((1+Tidstabel[[#This Row],[Kalkulationsrente]])^-Tidstabel[[#This Row],[År]])*((1+PrisudviklingGenerelt)^Tidstabel[[#This Row],[År]]))),BlankTegn)</f>
        <v>.</v>
      </c>
      <c r="BL78" s="245" t="str">
        <f>IFERROR(IF(Tidstabel[[#This Row],[År]]&gt;Input_Tidshorisont,BlankTegn,
IF(Tidstabel[[#This Row],[År]]=0,-EI_Enhedspris,0)),BlankTegn)</f>
        <v>.</v>
      </c>
      <c r="BM78" s="245" t="str">
        <f>IFERROR(IF(Tidstabel[[#This Row],[År]]&gt;Input_Tidshorisont,BlankTegn,
IF(Tidstabel[[#This Row],[År]]=0,EI_Enhedspris/EI_Levetid,BM77*((1+Tidstabel[[#This Row],[Kalkulationsrente]])^-1)*((1+PrisudviklingGenerelt)^1))),BlankTegn)</f>
        <v>.</v>
      </c>
      <c r="BN78" s="178" t="str">
        <f ca="1">IFERROR(IF(Tidstabel[[#This Row],[År]]&gt;Input_Tidshorisont,BlankTegn,
IF(EI_Vedligehold_i=1,IF(Tidstabel[[#This Row],[EI_Uds?]]=0,1,0),IF(MAX(BN77:OFFSET(BO77,2-EI_Vedligehold_i,0),Tidstabel[[#This Row],[EI_Uds?]])=0,1,0))),BlankTegn)</f>
        <v>.</v>
      </c>
      <c r="BO78" s="178" t="str">
        <f>IFERROR(IF(Tidstabel[[#This Row],[År]]&gt;Input_Tidshorisont,BlankTegn,
IF(Tidstabel[[#This Row],[År]]=0,1,IF(MOD(Tidstabel[[#This Row],[År]],EI_Levetid)=0,1,IF(Tidstabel[[#This Row],[År]]=Input_Tidshorisont,0,0)))),BlankTegn)</f>
        <v>.</v>
      </c>
      <c r="BP78" s="245" t="str">
        <f>IFERROR(IF(Tidstabel[[#This Row],[År]]&gt;Input_Tidshorisont,BlankTegn,
EI_Vedligehold_p*-EI_Enhedspris*Tidstabel[[#This Row],[EI_Ved?]]*((1+Tidstabel[[#This Row],[Kalkulationsrente]])^-Tidstabel[[#This Row],[År]])*((1+PrisudviklingGenerelt)^Tidstabel[[#This Row],[År]])),BlankTegn)</f>
        <v>.</v>
      </c>
      <c r="BQ78" s="245" t="str">
        <f>IFERROR(IF(Tidstabel[[#This Row],[År]]&gt;Input_Tidshorisont,BlankTegn,
IF(Tidstabel[[#This Row],[År]]=0,EI_Enhedspris,SUM(BQ77:BR77)*((1+Tidstabel[[#This Row],[Kalkulationsrente]])^-1)*((1+PrisudviklingGenerelt)^1)-Tidstabel[[#This Row],[EI_Afskrivning]])),BlankTegn)</f>
        <v>.</v>
      </c>
      <c r="BR78" s="245" t="str">
        <f>IFERROR(IF(Tidstabel[[#This Row],[År]]&gt;Input_Tidshorisont,BlankTegn,
IF(Tidstabel[[#This Row],[År]]=0,0,Tidstabel[[#This Row],[EI_Uds?]]*EI_Enhedspris*((1+Tidstabel[[#This Row],[Kalkulationsrente]])^-Tidstabel[[#This Row],[År]])*((1+PrisudviklingGenerelt)^Tidstabel[[#This Row],[År]]))),BlankTegn)</f>
        <v>.</v>
      </c>
      <c r="BS78" s="262" t="str">
        <f>IFERROR(IF(Tidstabel[[#This Row],[År]]&gt;Input_Tidshorisont,BlankTegn,
IF(Tidstabel[[#This Row],[År]]=0,0,Tidstabel[[#This Row],[EI_Uds?]]*-EI_Enhedspris*EI_Genoprettelse*((1+Tidstabel[[#This Row],[Kalkulationsrente]])^-Tidstabel[[#This Row],[År]])*((1+PrisudviklingGenerelt)^Tidstabel[[#This Row],[År]]))),BlankTegn)</f>
        <v>.</v>
      </c>
      <c r="BT78" s="245" t="str">
        <f>IFERROR(IF(Tidstabel[[#This Row],[År]]&gt;Input_Tidshorisont,BlankTegn,
IF(Tidstabel[[#This Row],[År]]=0,-AP_Enhedspris,0)),BlankTegn)</f>
        <v>.</v>
      </c>
      <c r="BU78" s="245" t="str">
        <f>IFERROR(IF(Tidstabel[[#This Row],[År]]&gt;Input_Tidshorisont,BlankTegn,
IF(Tidstabel[[#This Row],[År]]=0,AP_Enhedspris/AP_Levetid,BU77*((1+Tidstabel[[#This Row],[Kalkulationsrente]])^-1)*((1+PrisudviklingGenerelt)^1))),BlankTegn)</f>
        <v>.</v>
      </c>
      <c r="BV78" s="178" t="str">
        <f ca="1">IFERROR(IF(Tidstabel[[#This Row],[År]]&gt;Input_Tidshorisont,BlankTegn,
IF(AP_Vedligehold_i=1,IF(Tidstabel[[#This Row],[AP_Uds?]]=0,1,0),IF(MAX(BV77:OFFSET(BW77,2-AP_Vedligehold_i,0),Tidstabel[[#This Row],[AP_Uds?]])=0,1,0))),BlankTegn)</f>
        <v>.</v>
      </c>
      <c r="BW78" s="178" t="str">
        <f>IFERROR(IF(Tidstabel[[#This Row],[År]]&gt;Input_Tidshorisont,BlankTegn,
IF(Tidstabel[[#This Row],[År]]=0,1,IF(MOD(Tidstabel[[#This Row],[År]],AP_Levetid)=0,1,IF(Tidstabel[[#This Row],[År]]=Input_Tidshorisont,0,0)))),BlankTegn)</f>
        <v>.</v>
      </c>
      <c r="BX78" s="245" t="str">
        <f>IFERROR(IF(Tidstabel[[#This Row],[År]]&gt;Input_Tidshorisont,BlankTegn,
AP_Vedligehold_p*-AP_Enhedspris*Tidstabel[[#This Row],[AP_Ved?]]*((1+Tidstabel[[#This Row],[Kalkulationsrente]])^-Tidstabel[[#This Row],[År]])*((1+PrisudviklingGenerelt)^Tidstabel[[#This Row],[År]])),BlankTegn)</f>
        <v>.</v>
      </c>
      <c r="BY78" s="245" t="str">
        <f>IFERROR(IF(Tidstabel[[#This Row],[År]]&gt;Input_Tidshorisont,BlankTegn,
IF(Tidstabel[[#This Row],[År]]=0,AP_Enhedspris,SUM(BY77:BZ77)*((1+Tidstabel[[#This Row],[Kalkulationsrente]])^-1)*((1+PrisudviklingGenerelt)^1)-Tidstabel[[#This Row],[AP_Afskrivning]])),BlankTegn)</f>
        <v>.</v>
      </c>
      <c r="BZ78" s="245" t="str">
        <f>IFERROR(IF(Tidstabel[[#This Row],[År]]&gt;Input_Tidshorisont,BlankTegn,
IF(Tidstabel[[#This Row],[År]]=0,0,Tidstabel[[#This Row],[AP_Uds?]]*AP_Enhedspris*((1+Tidstabel[[#This Row],[Kalkulationsrente]])^-Tidstabel[[#This Row],[År]])*((1+PrisudviklingGenerelt)^Tidstabel[[#This Row],[År]]))),BlankTegn)</f>
        <v>.</v>
      </c>
      <c r="CA78" s="262" t="str">
        <f>IFERROR(IF(Tidstabel[[#This Row],[År]]&gt;Input_Tidshorisont,BlankTegn,
IF(Tidstabel[[#This Row],[År]]=0,0,Tidstabel[[#This Row],[AP_Uds?]]*-AP_Enhedspris*AP_Genoprettelse*((1+Tidstabel[[#This Row],[Kalkulationsrente]])^-Tidstabel[[#This Row],[År]])*((1+PrisudviklingGenerelt)^Tidstabel[[#This Row],[År]]))),BlankTegn)</f>
        <v>.</v>
      </c>
      <c r="CB78" s="245" t="str">
        <f>IFERROR(IF(Tidstabel[[#This Row],[År]]&gt;Input_Tidshorisont,BlankTegn,
IF(Tidstabel[[#This Row],[År]]=0,-SK_Enhedspris,0)),BlankTegn)</f>
        <v>.</v>
      </c>
      <c r="CC78" s="245" t="str">
        <f>IFERROR(IF(Tidstabel[[#This Row],[År]]&gt;Input_Tidshorisont,BlankTegn,
IF(Tidstabel[[#This Row],[År]]=0,SK_Enhedspris/SK_Levetid,CC77*((1+Tidstabel[[#This Row],[Kalkulationsrente]])^-1)*((1+PrisudviklingGenerelt)^1))),BlankTegn)</f>
        <v>.</v>
      </c>
      <c r="CD78" s="178" t="str">
        <f ca="1">IFERROR(IF(Tidstabel[[#This Row],[År]]&gt;Input_Tidshorisont,BlankTegn,
IF(SK_Vedligehold_i=1,IF(Tidstabel[[#This Row],[SK_Uds?]]=0,1,0),IF(MAX(CD77:OFFSET(CE77,2-SK_Vedligehold_i,0),Tidstabel[[#This Row],[SK_Uds?]])=0,1,0))),BlankTegn)</f>
        <v>.</v>
      </c>
      <c r="CE78" s="178" t="str">
        <f>IFERROR(IF(Tidstabel[[#This Row],[År]]&gt;Input_Tidshorisont,BlankTegn,
IF(Tidstabel[[#This Row],[År]]=0,1,IF(MOD(Tidstabel[[#This Row],[År]],SK_Levetid)=0,1,IF(Tidstabel[[#This Row],[År]]=Input_Tidshorisont,0,0)))),BlankTegn)</f>
        <v>.</v>
      </c>
      <c r="CF78" s="245" t="str">
        <f>IFERROR(IF(Tidstabel[[#This Row],[År]]&gt;Input_Tidshorisont,BlankTegn,
SK_Vedligehold_p*-SK_Enhedspris*Tidstabel[[#This Row],[SK_Ved?]]*((1+Tidstabel[[#This Row],[Kalkulationsrente]])^-Tidstabel[[#This Row],[År]])*((1+PrisudviklingGenerelt)^Tidstabel[[#This Row],[År]])),BlankTegn)</f>
        <v>.</v>
      </c>
      <c r="CG78" s="245" t="str">
        <f>IFERROR(IF(Tidstabel[[#This Row],[År]]&gt;Input_Tidshorisont,BlankTegn,
IF(Tidstabel[[#This Row],[År]]=0,SK_Enhedspris,SUM(CG77:CH77)*((1+Tidstabel[[#This Row],[Kalkulationsrente]])^-1)*((1+PrisudviklingGenerelt)^1)-Tidstabel[[#This Row],[SK_Afskrivning]])),BlankTegn)</f>
        <v>.</v>
      </c>
      <c r="CH78" s="245" t="str">
        <f>IFERROR(IF(Tidstabel[[#This Row],[År]]&gt;Input_Tidshorisont,BlankTegn,
IF(Tidstabel[[#This Row],[År]]=0,0,Tidstabel[[#This Row],[SK_Uds?]]*SK_Enhedspris*((1+Tidstabel[[#This Row],[Kalkulationsrente]])^-Tidstabel[[#This Row],[År]])*((1+PrisudviklingGenerelt)^Tidstabel[[#This Row],[År]]))),BlankTegn)</f>
        <v>.</v>
      </c>
      <c r="CI78" s="262" t="str">
        <f>IFERROR(IF(Tidstabel[[#This Row],[År]]&gt;Input_Tidshorisont,BlankTegn,
IF(Tidstabel[[#This Row],[År]]=0,0,Tidstabel[[#This Row],[SK_Uds?]]*-SK_Enhedspris*SK_Genoprettelse*((1+Tidstabel[[#This Row],[Kalkulationsrente]])^-Tidstabel[[#This Row],[År]])*((1+PrisudviklingGenerelt)^Tidstabel[[#This Row],[År]]))),BlankTegn)</f>
        <v>.</v>
      </c>
      <c r="CJ78" s="19"/>
    </row>
    <row r="79" spans="1:88">
      <c r="A79" s="250">
        <v>72</v>
      </c>
      <c r="B79" s="250">
        <f>Input_Etableringsår+Tidstabel[[#This Row],[År]]</f>
        <v>2096</v>
      </c>
      <c r="C79" s="274" cm="1">
        <f t="array" ref="C79">_xlfn.IFS(Tidstabel[[#This Row],[År]]&gt;KR_Trin3_Tærskel,KR_Trin3_Rente,Tidstabel[[#This Row],[År]]&gt;KR_Trin2_Tærskel,KR_Trin2_Rente,Tidstabel[[#This Row],[År]]&gt;KR_Trin1_Tærskel,KR_Trin1_Rente,Tidstabel[[#This Row],[År]]&gt;KR_Trin0_Tærskel,KR_Trin0_Rente)</f>
        <v>1.4999999999999999E-2</v>
      </c>
      <c r="D79" s="142" t="str" cm="1">
        <f t="array" ref="D79">IFERROR(
INDEX(Range_Materiale_ÅrligeEmissioner,MATCH(1,(Materialedata[Komponent]=FB_Titel)*(Materialedata[Materiale]=FB_Materiale),0),MATCH(Tidstabel[[#This Row],[År]],Range_Materiale_År,0)),BlankTegn)</f>
        <v>.</v>
      </c>
      <c r="E79" s="142" t="str" cm="1">
        <f t="array" ref="E79">IFERROR(
INDEX(Range_Materiale_ÅrligeEmissioner,MATCH(1,(Materialedata[Komponent]=SK_Titel)*(Materialedata[Materiale]=SK_Materiale),0),MATCH(Tidstabel[[#This Row],[År]],Range_Materiale_År,0)),BlankTegn)</f>
        <v>.</v>
      </c>
      <c r="F79" s="142" t="str" cm="1">
        <f t="array" ref="F79">IFERROR(
INDEX(Range_Materiale_ÅrligeEmissioner,MATCH(1,(Materialedata[Komponent]=EI_Titel)*(Materialedata[Materiale]=EI_Materiale),0),MATCH(Tidstabel[[#This Row],[År]],Range_Materiale_År,0)),BlankTegn)</f>
        <v>.</v>
      </c>
      <c r="G79" s="142" t="str" cm="1">
        <f t="array" ref="G79">IFERROR(
INDEX(Range_Materiale_ÅrligeEmissioner,MATCH(1,(Materialedata[Komponent]=AP_Titel)*(Materialedata[Materiale]=AP_Materiale),0),MATCH(Tidstabel[[#This Row],[År]],Range_Materiale_År,0)),BlankTegn)</f>
        <v>.</v>
      </c>
      <c r="H79" s="142" t="str" cm="1">
        <f t="array" ref="H79">IFERROR(
INDEX(Range_Materiale_ÅrligeEmissioner,MATCH(1,(Materialedata[Komponent]=VS_Titel)*(Materialedata[Materiale]=VS_Materiale),0),MATCH(Tidstabel[[#This Row],[År]],Range_Materiale_År,0)),BlankTegn)</f>
        <v>.</v>
      </c>
      <c r="I79" s="142" t="str">
        <f>IFERROR(
IF(SUM(Tidstabel[[#This Row],[Facadebeklædning]:[Vindspærre]])=0,BlankTegn,
SUM(Tidstabel[[#This Row],[Facadebeklædning]:[Vindspærre]])),BlankTegn)</f>
        <v>.</v>
      </c>
      <c r="J79" s="139" t="str">
        <f>IF(Tidstabel[[#This Row],[År]]&gt;Input_Tidshorisont,BlankTegn,
A5_ElVarmeBrændstofByggeplads)</f>
        <v>.</v>
      </c>
      <c r="K79" s="142" t="str">
        <f>IFERROR(IF(Tidstabel[[#This Row],[År]]&gt;Input_Tidshorisont,BlankTegn,
-1*INDEX(Range_Energi_ÅrligBesparelse,MATCH(Input_EksisterendeFacade,Energiberegning[Ydervæg],0),MATCH(Tidstabel[[#This Row],[Årstal]],Range_Energi_Årstal,0))),BlankTegn)</f>
        <v>.</v>
      </c>
      <c r="L79" s="142" t="str">
        <f>IF(Tidstabel[[#This Row],[År]]&gt;Input_Tidshorisont,BlankTegn,
(Tidstabel[[#This Row],[År]]+1)*(SUM(Vedligeholdelsesmaterialer[Facadefarve],Vedligeholdelsesmaterialer[Grunder og mellemmaling])/12+SUM(Vedligeholdelsesmaterialer[Puds])/30))</f>
        <v>.</v>
      </c>
      <c r="M79" s="142" t="str">
        <f>IFERROR(IF(Tidstabel[[#This Row],[År]]&gt;Input_Tidshorisont,BlankTegn,
Tidstabel[[#This Row],[Materialer_Total]]+Tidstabel[[#This Row],[Byggeprocess]]),BlankTegn)</f>
        <v>.</v>
      </c>
      <c r="N79" s="142" t="str">
        <f>IFERROR(IF(Tidstabel[[#This Row],[År]]&gt;Input_Tidshorisont,BlankTegn,
Tidstabel[[#This Row],[Energibesparelse]]+Tidstabel[[#This Row],[Emission_Brutto]]),BlankTegn)</f>
        <v>.</v>
      </c>
      <c r="O79" s="142" t="str">
        <f>IFERROR(IF(Tidstabel[[#This Row],[År]]&gt;Input_Tidshorisont,BlankTegn,
Tidstabel[[#This Row],[Emission_Netto]]-Tidstabel[[#This Row],[Vedligehold_EksisterendeFacade]]),BlankTegn)</f>
        <v>.</v>
      </c>
      <c r="P79" s="271" t="str">
        <f>IFERROR(IF(Tidstabel[[#This Row],[År]]&gt;Input_Tidshorisont,BlankTegn,
IF(AND(Tidstabel[[#This Row],[Emission_Netto]]-Tidstabel[[#This Row],[Vedligehold_EksisterendeFacade]]&gt;0,N80-L80&lt;0),-1,IF(AND(Tidstabel[[#This Row],[Emission_Netto]]-Tidstabel[[#This Row],[Vedligehold_EksisterendeFacade]]&lt;0,N80-L80&gt;0),1,0))),BlankTegn)</f>
        <v>.</v>
      </c>
      <c r="Q79" s="174" t="str">
        <f>IF(Tidstabel[[#This Row],[År]]&gt;Input_Tidshorisont,BlankTegn,
IF(Tidstabel[[#This Row],[LCA-Skæring]]=-1,SUM(Tidstabel[[#This Row],[År]]*(1-ABS(Tidstabel[[#This Row],[LCA-Difference]])/(ABS(Tidstabel[[#This Row],[LCA-Difference]])+ABS(O80))),A80*(1-ABS(O80)/(ABS(Tidstabel[[#This Row],[LCA-Difference]])+ABS(O80)))),"-"))</f>
        <v>.</v>
      </c>
      <c r="R79" s="174" t="str">
        <f>IF(Tidstabel[[#This Row],[År]]&gt;Input_Tidshorisont,BlankTegn,
IF(Tidstabel[[#This Row],[LCA-Skæring]]=-1,SUM(Tidstabel[[#This Row],[Emission_Netto]]*(1-ABS(Tidstabel[[#This Row],[LCA-Difference]])/(ABS(Tidstabel[[#This Row],[LCA-Difference]])+ABS(O80))),N80*(1-ABS(O80)/(ABS(Tidstabel[[#This Row],[LCA-Difference]])+ABS(O80)))),"-"))</f>
        <v>.</v>
      </c>
      <c r="S79" s="174" t="str">
        <f>IF(Tidstabel[[#This Row],[År]]&gt;Input_Tidshorisont,BlankTegn,
IF(Tidstabel[[#This Row],[LCA-Skæring]]=1,SUM(Tidstabel[[#This Row],[År]]*(1-ABS(Tidstabel[[#This Row],[LCA-Difference]])/(ABS(Tidstabel[[#This Row],[LCA-Difference]])+ABS(O80))),A80*(1-ABS(O80)/(ABS(Tidstabel[[#This Row],[LCA-Difference]])+ABS(O80)))),"-"))</f>
        <v>.</v>
      </c>
      <c r="T79" s="264" t="str">
        <f>IF(Tidstabel[[#This Row],[År]]&gt;Input_Tidshorisont,BlankTegn,
IF(Tidstabel[[#This Row],[LCA-Skæring]]=1,SUM(Tidstabel[[#This Row],[Emission_Netto]]*(1-ABS(Tidstabel[[#This Row],[LCA-Difference]])/(ABS(Tidstabel[[#This Row],[LCA-Difference]])+ABS(O80))),N80*(1-ABS(O80)/(ABS(Tidstabel[[#This Row],[LCA-Difference]])+ABS(O80)))),"-"))</f>
        <v>.</v>
      </c>
      <c r="U79" s="142" t="str">
        <f>IFERROR(IF(Tidstabel[[#This Row],[År]]&gt;Input_Tidshorisont,BlankTegn,
Tidstabel[[#This Row],[NPV_Klimafacade]]-Tidstabel[[#This Row],[NPV_Eksisterende]]),BlankTegn)</f>
        <v>.</v>
      </c>
      <c r="V79" s="271" t="str">
        <f>IFERROR(IF(Tidstabel[[#This Row],[År]]&gt;Input_Tidshorisont,BlankTegn,
IF(AND(Tidstabel[[#This Row],[NPV_Klimafacade]]-Tidstabel[[#This Row],[NPV_Eksisterende]]&gt;0,AB80-AA80&lt;0),1,IF(AND(Tidstabel[[#This Row],[NPV_Klimafacade]]-Tidstabel[[#This Row],[NPV_Eksisterende]]&lt;0,AB80-AA80&gt;0),-1,0))),BlankTegn)</f>
        <v>.</v>
      </c>
      <c r="W79" s="174" t="str">
        <f>IF(Tidstabel[[#This Row],[År]]&gt;Input_Tidshorisont,BlankTegn,
IF(Tidstabel[[#This Row],[LCC-Skæring]]=-1,SUM(Tidstabel[[#This Row],[År]]*(1-ABS(Tidstabel[[#This Row],[LCC-Difference]])/(ABS(Tidstabel[[#This Row],[LCC-Difference]])+ABS(U80))),A80*(1-ABS(U80)/(ABS(Tidstabel[[#This Row],[LCC-Difference]])+ABS(U80)))),"-"))</f>
        <v>.</v>
      </c>
      <c r="X79" s="174" t="str">
        <f>IF(Tidstabel[[#This Row],[År]]&gt;Input_Tidshorisont,BlankTegn,
IF(Tidstabel[[#This Row],[LCC-Skæring]]=-1,SUM(Tidstabel[[#This Row],[NPV_Klimafacade]]*(1-ABS(Tidstabel[[#This Row],[LCC-Difference]])/(ABS(Tidstabel[[#This Row],[LCC-Difference]])+ABS(U80))),AB80*(1-ABS(U80)/(ABS(Tidstabel[[#This Row],[LCC-Difference]])+ABS(U80)))),"-"))</f>
        <v>.</v>
      </c>
      <c r="Y79" s="174" t="str">
        <f>IF(Tidstabel[[#This Row],[År]]&gt;Input_Tidshorisont,BlankTegn,
IF(Tidstabel[[#This Row],[LCC-Skæring]]=1,SUM(Tidstabel[[#This Row],[År]]*(1-ABS(Tidstabel[[#This Row],[LCC-Difference]])/(ABS(Tidstabel[[#This Row],[LCC-Difference]])+ABS(U80))),A80*(1-ABS(U80)/(ABS(Tidstabel[[#This Row],[LCC-Difference]])+ABS(U80)))),"-"))</f>
        <v>.</v>
      </c>
      <c r="Z79" s="264" t="str">
        <f>IF(Tidstabel[[#This Row],[År]]&gt;Input_Tidshorisont,BlankTegn,
IF(Tidstabel[[#This Row],[LCC-Skæring]]=1,SUM(Tidstabel[[#This Row],[NPV_Klimafacade]]*(1-ABS(Tidstabel[[#This Row],[LCC-Difference]])/(ABS(Tidstabel[[#This Row],[LCC-Difference]])+ABS(U80))),AB80*(1-ABS(U80)/(ABS(Tidstabel[[#This Row],[LCC-Difference]])+ABS(U80)))),"-"))</f>
        <v>.</v>
      </c>
      <c r="AA79" s="142" t="str">
        <f>IF(Tidstabel[[#This Row],[År]]&gt;Input_Tidshorisont,BlankTegn,
Tidstabel[[#This Row],[EF_Vedligehold_Aggregeret]])</f>
        <v>.</v>
      </c>
      <c r="AB79"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79" s="142" t="str">
        <f>IFERROR(IF(Tidstabel[[#This Row],[År]]&gt;Input_Tidshorisont,BlankTegn,
Tidstabel[[#This Row],[KF_Anskaffelse_Aggregeret]]+Tidstabel[[#This Row],[KF_Engangsudgifter_Aggregeret]]),BlankTegn)</f>
        <v>.</v>
      </c>
      <c r="AD79" s="174" t="str">
        <f>IFERROR(IF(Tidstabel[[#This Row],[År]]&gt;Input_Tidshorisont,BlankTegn,
IF(Tidstabel[[#This Row],[År]]=0,0,Tidstabel[[#This Row],[NPV_Eksisterende]]*(Tidstabel[[#This Row],[Kalkulationsrente]]/(1-(1+Tidstabel[[#This Row],[Kalkulationsrente]])^-Tidstabel[[#This Row],[År]])))),BlankTegn)</f>
        <v>.</v>
      </c>
      <c r="AE79" s="264" t="str">
        <f>IFERROR(IF(Tidstabel[[#This Row],[År]]&gt;Input_Tidshorisont,BlankTegn,
IF(Tidstabel[[#This Row],[År]]=0,0,Tidstabel[[#This Row],[NPV_Klimafacade]]*(Tidstabel[[#This Row],[Kalkulationsrente]]/(1-(1+Tidstabel[[#This Row],[Kalkulationsrente]])^-Tidstabel[[#This Row],[År]])))),BlankTegn)</f>
        <v>.</v>
      </c>
      <c r="AF79" s="270" t="str">
        <f ca="1">IF(Tidstabel[[#This Row],[År]]&gt;Input_Tidshorisont,BlankTegn,
IF(EF_Vedligehold_i=1,IF(Tidstabel[[#This Row],[EF_Uds?]]=0,1,0),IF(MAX(AF78:OFFSET(AG78,2-EF_Vedligehold_i,0),Tidstabel[[#This Row],[EF_Uds?]])=0,1,0)))</f>
        <v>.</v>
      </c>
      <c r="AG79" s="181" t="str">
        <f>IF(Tidstabel[[#This Row],[År]]&gt;Input_Tidshorisont,BlankTegn,0)</f>
        <v>.</v>
      </c>
      <c r="AH79" s="263" t="str">
        <f>IF(Tidstabel[[#This Row],[År]]&gt;Input_Tidshorisont,BlankTegn,
Tidstabel[[#This Row],[EF_Ved?]]*EF_Vedligehold_p*-EF_Enhedspris*((1+Tidstabel[[#This Row],[Kalkulationsrente]])^-Tidstabel[[#This Row],[År]])*((1+PrisudviklingGenerelt)^Tidstabel[[#This Row],[År]]))</f>
        <v>.</v>
      </c>
      <c r="AI79" s="262" t="str">
        <f>IF(Tidstabel[[#This Row],[År]]&gt;Input_Tidshorisont,BlankTegn,
IF(Tidstabel[[#This Row],[År]]=0,Tidstabel[[#This Row],[EF_Vedligehold]],AI78+Tidstabel[[#This Row],[EF_Vedligehold]]))</f>
        <v>.</v>
      </c>
      <c r="AJ79" s="245" t="str">
        <f>IFERROR(IF(Tidstabel[[#This Row],[År]]&gt;Input_Tidshorisont,BlankTegn,
Tidstabel[[#This Row],[FB_Anskaffelse]]+Tidstabel[[#This Row],[VS_Anskaffelse]]+Tidstabel[[#This Row],[EI_Anskaffelse]]+Tidstabel[[#This Row],[AP_Anskaffelse]]+Tidstabel[[#This Row],[SK_Anskaffelse]]),BlankTegn)</f>
        <v>.</v>
      </c>
      <c r="AK79" s="245" t="str">
        <f>IFERROR(IF(Tidstabel[[#This Row],[År]]&gt;Input_Tidshorisont,BlankTegn,
IF(Tidstabel[[#This Row],[År]]=0,Tidstabel[[#This Row],[KF_Anskaffelse]],AK78+Tidstabel[[#This Row],[KF_Anskaffelse]])),BlankTegn)</f>
        <v>.</v>
      </c>
      <c r="AL79" s="246" t="str">
        <f>IFERROR(IF(Tidstabel[[#This Row],[År]]&gt;Input_Tidshorisont,BlankTegn,
Tidstabel[[#This Row],[FB_Vedligehold]]+Tidstabel[[#This Row],[VS_Vedligehold]]+Tidstabel[[#This Row],[EI_Vedligehold]]+Tidstabel[[#This Row],[AP_Vedligehold]]+Tidstabel[[#This Row],[SK_Vedligehold]]),BlankTegn)</f>
        <v>.</v>
      </c>
      <c r="AM79" s="245" t="str">
        <f>IFERROR(IF(Tidstabel[[#This Row],[År]]&gt;Input_Tidshorisont,BlankTegn,
IF(Tidstabel[[#This Row],[År]]=0,Tidstabel[[#This Row],[KF_Vedligehold]],AM78+Tidstabel[[#This Row],[KF_Vedligehold]])),BlankTegn)</f>
        <v>.</v>
      </c>
      <c r="AN79"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79"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79" s="245" t="str">
        <f>IFERROR(IF(Tidstabel[[#This Row],[År]]&gt;Input_Tidshorisont,BlankTegn,
IF(Tidstabel[[#This Row],[År]]=0,Tidstabel[[#This Row],[KF_Udskiftning_Komponent]],AP78+Tidstabel[[#This Row],[KF_Udskiftning_Komponent]])),BlankTegn)</f>
        <v>.</v>
      </c>
      <c r="AQ79" s="245" t="str">
        <f>IF(Tidstabel[[#This Row],[År]]&gt;Input_Tidshorisont,BlankTegn,
IF(Tidstabel[[#This Row],[År]]=0,-SUM(Engangsudgifter[Udgift]),0))</f>
        <v>.</v>
      </c>
      <c r="AR79" s="245" t="str">
        <f>IFERROR(IF(Tidstabel[[#This Row],[År]]&gt;Input_Tidshorisont,BlankTegn,
IF(Tidstabel[[#This Row],[År]]=0,Tidstabel[[#This Row],[KF_Engangsudgifter]],AR78+Tidstabel[[#This Row],[KF_Engangsudgifter]])),BlankTegn)</f>
        <v>.</v>
      </c>
      <c r="AS79" s="315" t="str">
        <f>IFERROR(IF(Tidstabel[[#This Row],[År]]&gt;Input_Tidshorisont,BlankTegn,
-Energibesparelse_Årlig),BlankTegn)</f>
        <v>.</v>
      </c>
      <c r="AT79" s="245" t="str">
        <f>IFERROR(IF(Tidstabel[[#This Row],[År]]&gt;Input_Tidshorisont,BlankTegn,
IF(Tidstabel[[#This Row],[År]]=0,0,-Tidstabel[[#This Row],[KF_Energiforbrug]]*Input_Fjernvarmepris*((1+Tidstabel[[#This Row],[Kalkulationsrente]])^-Tidstabel[[#This Row],[År]])*((1+PrisudviklingFjernvarme)^Tidstabel[[#This Row],[År]]))),BlankTegn)</f>
        <v>.</v>
      </c>
      <c r="AU79" s="262" t="str">
        <f>IFERROR(IF(Tidstabel[[#This Row],[År]]&gt;Input_Tidshorisont,BlankTegn,
IF(Tidstabel[[#This Row],[År]]=0,Tidstabel[[#This Row],[KF_Forsyning]],AU78+Tidstabel[[#This Row],[KF_Forsyning]])),BlankTegn)</f>
        <v>.</v>
      </c>
      <c r="AV79" s="245" t="str">
        <f>IFERROR(IF(Tidstabel[[#This Row],[År]]&gt;Input_Tidshorisont,BlankTegn,
IF(Tidstabel[[#This Row],[År]]=0,-FB_Enhedspris,0)),BlankTegn)</f>
        <v>.</v>
      </c>
      <c r="AW79" s="245" t="str">
        <f>IFERROR(IF(Tidstabel[[#This Row],[År]]&gt;Input_Tidshorisont,BlankTegn,
IF(Tidstabel[[#This Row],[År]]=0,FB_Enhedspris/FB_Levetid,AW78*((1+Tidstabel[[#This Row],[Kalkulationsrente]])^-1)*((1+PrisudviklingGenerelt)^1))),BlankTegn)</f>
        <v>.</v>
      </c>
      <c r="AX79" s="178" t="str">
        <f ca="1">IFERROR(IF(Tidstabel[[#This Row],[År]]&gt;Input_Tidshorisont,BlankTegn,
IF(FB_Vedligehold_i=1,IF(Tidstabel[[#This Row],[FB_Uds?]]=0,1,0),IF(MAX(AX78:OFFSET(AY78,2-FB_Vedligehold_i,0),Tidstabel[[#This Row],[FB_Uds?]])=0,1,0))),BlankTegn)</f>
        <v>.</v>
      </c>
      <c r="AY79" s="178" t="str">
        <f>IFERROR(IF(Tidstabel[[#This Row],[År]]&gt;Input_Tidshorisont,BlankTegn,
IF(Tidstabel[[#This Row],[År]]=0,1,IF(MOD(Tidstabel[[#This Row],[År]],FB_Levetid)=0,1,IF(Tidstabel[[#This Row],[År]]=Input_Tidshorisont,0,0)))),BlankTegn)</f>
        <v>.</v>
      </c>
      <c r="AZ79" s="245" t="str">
        <f>IFERROR(IF(Tidstabel[[#This Row],[År]]&gt;Input_Tidshorisont,BlankTegn,
FB_Vedligehold_p*-FB_Enhedspris*Tidstabel[[#This Row],[FB_Ved?]]*((1+Tidstabel[[#This Row],[Kalkulationsrente]])^-Tidstabel[[#This Row],[År]])*((1+PrisudviklingGenerelt)^Tidstabel[[#This Row],[År]])),BlankTegn)</f>
        <v>.</v>
      </c>
      <c r="BA79" s="245" t="str">
        <f>IFERROR(IF(Tidstabel[[#This Row],[År]]&gt;Input_Tidshorisont,BlankTegn,
IF(Tidstabel[[#This Row],[År]]=0,FB_Enhedspris,SUM(BA78:BB78)*((1+Tidstabel[[#This Row],[Kalkulationsrente]])^-1)*((1+PrisudviklingGenerelt)^1)-Tidstabel[[#This Row],[FB_Afskrivning]])),BlankTegn)</f>
        <v>.</v>
      </c>
      <c r="BB79" s="245" t="str">
        <f>IFERROR(IF(Tidstabel[[#This Row],[År]]&gt;Input_Tidshorisont,BlankTegn,
IF(Tidstabel[[#This Row],[År]]=0,0,Tidstabel[[#This Row],[FB_Uds?]]*FB_Enhedspris*((1+Tidstabel[[#This Row],[Kalkulationsrente]])^-Tidstabel[[#This Row],[År]])*((1+PrisudviklingGenerelt)^Tidstabel[[#This Row],[År]]))),BlankTegn)</f>
        <v>.</v>
      </c>
      <c r="BC79" s="262" t="str">
        <f>IFERROR(IF(Tidstabel[[#This Row],[År]]&gt;Input_Tidshorisont,BlankTegn,
IF(Tidstabel[[#This Row],[År]]=0,0,Tidstabel[[#This Row],[FB_Uds?]]*-FB_Enhedspris*FB_Genoprettelse*((1+Tidstabel[[#This Row],[Kalkulationsrente]])^-Tidstabel[[#This Row],[År]])*((1+PrisudviklingGenerelt)^Tidstabel[[#This Row],[År]]))),BlankTegn)</f>
        <v>.</v>
      </c>
      <c r="BD79" s="245" t="str">
        <f>IFERROR(IF(Tidstabel[[#This Row],[År]]&gt;Input_Tidshorisont,BlankTegn,
IF(Tidstabel[[#This Row],[År]]=0,-VS_Enhedspris,0)),BlankTegn)</f>
        <v>.</v>
      </c>
      <c r="BE79" s="245" t="str">
        <f>IFERROR(IF(Tidstabel[[#This Row],[År]]&gt;Input_Tidshorisont,BlankTegn,
IF(Tidstabel[[#This Row],[År]]=0,VS_Enhedspris/VS_Levetid,BE78*((1+Tidstabel[[#This Row],[Kalkulationsrente]])^-1)*((1+PrisudviklingGenerelt)^1))),BlankTegn)</f>
        <v>.</v>
      </c>
      <c r="BF79" s="178" t="str">
        <f ca="1">IFERROR(IF(Tidstabel[[#This Row],[År]]&gt;Input_Tidshorisont,BlankTegn,
IF(VS_Vedligehold_i=1,IF(Tidstabel[[#This Row],[VS_Uds?]]=0,1,0),IF(MAX(BF78:OFFSET(BG78,2-VS_Vedligehold_i,0),Tidstabel[[#This Row],[VS_Uds?]])=0,1,0))),BlankTegn)</f>
        <v>.</v>
      </c>
      <c r="BG79" s="178" t="str">
        <f>IFERROR(IF(Tidstabel[[#This Row],[År]]&gt;Input_Tidshorisont,BlankTegn,
IF(Tidstabel[[#This Row],[År]]=0,1,IF(MOD(Tidstabel[[#This Row],[År]],VS_Levetid)=0,1,IF(Tidstabel[[#This Row],[År]]=Input_Tidshorisont,0,0)))),BlankTegn)</f>
        <v>.</v>
      </c>
      <c r="BH79" s="245" t="str">
        <f>IFERROR(IF(Tidstabel[[#This Row],[År]]&gt;Input_Tidshorisont,BlankTegn,
VS_Vedligehold_p*-VS_Enhedspris*Tidstabel[[#This Row],[VS_Ved?]]*((1+Tidstabel[[#This Row],[Kalkulationsrente]])^-Tidstabel[[#This Row],[År]])*((1+PrisudviklingGenerelt)^Tidstabel[[#This Row],[År]])),BlankTegn)</f>
        <v>.</v>
      </c>
      <c r="BI79" s="245" t="str">
        <f>IFERROR(IF(Tidstabel[[#This Row],[År]]&gt;Input_Tidshorisont,BlankTegn,
IF(Tidstabel[[#This Row],[År]]=0,VS_Enhedspris,SUM(BI78:BJ78)*((1+Tidstabel[[#This Row],[Kalkulationsrente]])^-1)*((1+PrisudviklingGenerelt)^1)-Tidstabel[[#This Row],[VS_Afskrivning]])),BlankTegn)</f>
        <v>.</v>
      </c>
      <c r="BJ79" s="245" t="str">
        <f>IFERROR(IF(Tidstabel[[#This Row],[År]]&gt;Input_Tidshorisont,BlankTegn,
IF(Tidstabel[[#This Row],[År]]=0,0,Tidstabel[[#This Row],[VS_Uds?]]*VS_Enhedspris*((1+Tidstabel[[#This Row],[Kalkulationsrente]])^-Tidstabel[[#This Row],[År]])*((1+PrisudviklingGenerelt)^Tidstabel[[#This Row],[År]]))),BlankTegn)</f>
        <v>.</v>
      </c>
      <c r="BK79" s="262" t="str">
        <f>IFERROR(IF(Tidstabel[[#This Row],[År]]&gt;Input_Tidshorisont,BlankTegn,
IF(Tidstabel[[#This Row],[År]]=0,0,Tidstabel[[#This Row],[VS_Uds?]]*-VS_Enhedspris*VS_Genoprettelse*((1+Tidstabel[[#This Row],[Kalkulationsrente]])^-Tidstabel[[#This Row],[År]])*((1+PrisudviklingGenerelt)^Tidstabel[[#This Row],[År]]))),BlankTegn)</f>
        <v>.</v>
      </c>
      <c r="BL79" s="245" t="str">
        <f>IFERROR(IF(Tidstabel[[#This Row],[År]]&gt;Input_Tidshorisont,BlankTegn,
IF(Tidstabel[[#This Row],[År]]=0,-EI_Enhedspris,0)),BlankTegn)</f>
        <v>.</v>
      </c>
      <c r="BM79" s="245" t="str">
        <f>IFERROR(IF(Tidstabel[[#This Row],[År]]&gt;Input_Tidshorisont,BlankTegn,
IF(Tidstabel[[#This Row],[År]]=0,EI_Enhedspris/EI_Levetid,BM78*((1+Tidstabel[[#This Row],[Kalkulationsrente]])^-1)*((1+PrisudviklingGenerelt)^1))),BlankTegn)</f>
        <v>.</v>
      </c>
      <c r="BN79" s="178" t="str">
        <f ca="1">IFERROR(IF(Tidstabel[[#This Row],[År]]&gt;Input_Tidshorisont,BlankTegn,
IF(EI_Vedligehold_i=1,IF(Tidstabel[[#This Row],[EI_Uds?]]=0,1,0),IF(MAX(BN78:OFFSET(BO78,2-EI_Vedligehold_i,0),Tidstabel[[#This Row],[EI_Uds?]])=0,1,0))),BlankTegn)</f>
        <v>.</v>
      </c>
      <c r="BO79" s="178" t="str">
        <f>IFERROR(IF(Tidstabel[[#This Row],[År]]&gt;Input_Tidshorisont,BlankTegn,
IF(Tidstabel[[#This Row],[År]]=0,1,IF(MOD(Tidstabel[[#This Row],[År]],EI_Levetid)=0,1,IF(Tidstabel[[#This Row],[År]]=Input_Tidshorisont,0,0)))),BlankTegn)</f>
        <v>.</v>
      </c>
      <c r="BP79" s="245" t="str">
        <f>IFERROR(IF(Tidstabel[[#This Row],[År]]&gt;Input_Tidshorisont,BlankTegn,
EI_Vedligehold_p*-EI_Enhedspris*Tidstabel[[#This Row],[EI_Ved?]]*((1+Tidstabel[[#This Row],[Kalkulationsrente]])^-Tidstabel[[#This Row],[År]])*((1+PrisudviklingGenerelt)^Tidstabel[[#This Row],[År]])),BlankTegn)</f>
        <v>.</v>
      </c>
      <c r="BQ79" s="245" t="str">
        <f>IFERROR(IF(Tidstabel[[#This Row],[År]]&gt;Input_Tidshorisont,BlankTegn,
IF(Tidstabel[[#This Row],[År]]=0,EI_Enhedspris,SUM(BQ78:BR78)*((1+Tidstabel[[#This Row],[Kalkulationsrente]])^-1)*((1+PrisudviklingGenerelt)^1)-Tidstabel[[#This Row],[EI_Afskrivning]])),BlankTegn)</f>
        <v>.</v>
      </c>
      <c r="BR79" s="245" t="str">
        <f>IFERROR(IF(Tidstabel[[#This Row],[År]]&gt;Input_Tidshorisont,BlankTegn,
IF(Tidstabel[[#This Row],[År]]=0,0,Tidstabel[[#This Row],[EI_Uds?]]*EI_Enhedspris*((1+Tidstabel[[#This Row],[Kalkulationsrente]])^-Tidstabel[[#This Row],[År]])*((1+PrisudviklingGenerelt)^Tidstabel[[#This Row],[År]]))),BlankTegn)</f>
        <v>.</v>
      </c>
      <c r="BS79" s="262" t="str">
        <f>IFERROR(IF(Tidstabel[[#This Row],[År]]&gt;Input_Tidshorisont,BlankTegn,
IF(Tidstabel[[#This Row],[År]]=0,0,Tidstabel[[#This Row],[EI_Uds?]]*-EI_Enhedspris*EI_Genoprettelse*((1+Tidstabel[[#This Row],[Kalkulationsrente]])^-Tidstabel[[#This Row],[År]])*((1+PrisudviklingGenerelt)^Tidstabel[[#This Row],[År]]))),BlankTegn)</f>
        <v>.</v>
      </c>
      <c r="BT79" s="245" t="str">
        <f>IFERROR(IF(Tidstabel[[#This Row],[År]]&gt;Input_Tidshorisont,BlankTegn,
IF(Tidstabel[[#This Row],[År]]=0,-AP_Enhedspris,0)),BlankTegn)</f>
        <v>.</v>
      </c>
      <c r="BU79" s="245" t="str">
        <f>IFERROR(IF(Tidstabel[[#This Row],[År]]&gt;Input_Tidshorisont,BlankTegn,
IF(Tidstabel[[#This Row],[År]]=0,AP_Enhedspris/AP_Levetid,BU78*((1+Tidstabel[[#This Row],[Kalkulationsrente]])^-1)*((1+PrisudviklingGenerelt)^1))),BlankTegn)</f>
        <v>.</v>
      </c>
      <c r="BV79" s="178" t="str">
        <f ca="1">IFERROR(IF(Tidstabel[[#This Row],[År]]&gt;Input_Tidshorisont,BlankTegn,
IF(AP_Vedligehold_i=1,IF(Tidstabel[[#This Row],[AP_Uds?]]=0,1,0),IF(MAX(BV78:OFFSET(BW78,2-AP_Vedligehold_i,0),Tidstabel[[#This Row],[AP_Uds?]])=0,1,0))),BlankTegn)</f>
        <v>.</v>
      </c>
      <c r="BW79" s="178" t="str">
        <f>IFERROR(IF(Tidstabel[[#This Row],[År]]&gt;Input_Tidshorisont,BlankTegn,
IF(Tidstabel[[#This Row],[År]]=0,1,IF(MOD(Tidstabel[[#This Row],[År]],AP_Levetid)=0,1,IF(Tidstabel[[#This Row],[År]]=Input_Tidshorisont,0,0)))),BlankTegn)</f>
        <v>.</v>
      </c>
      <c r="BX79" s="245" t="str">
        <f>IFERROR(IF(Tidstabel[[#This Row],[År]]&gt;Input_Tidshorisont,BlankTegn,
AP_Vedligehold_p*-AP_Enhedspris*Tidstabel[[#This Row],[AP_Ved?]]*((1+Tidstabel[[#This Row],[Kalkulationsrente]])^-Tidstabel[[#This Row],[År]])*((1+PrisudviklingGenerelt)^Tidstabel[[#This Row],[År]])),BlankTegn)</f>
        <v>.</v>
      </c>
      <c r="BY79" s="245" t="str">
        <f>IFERROR(IF(Tidstabel[[#This Row],[År]]&gt;Input_Tidshorisont,BlankTegn,
IF(Tidstabel[[#This Row],[År]]=0,AP_Enhedspris,SUM(BY78:BZ78)*((1+Tidstabel[[#This Row],[Kalkulationsrente]])^-1)*((1+PrisudviklingGenerelt)^1)-Tidstabel[[#This Row],[AP_Afskrivning]])),BlankTegn)</f>
        <v>.</v>
      </c>
      <c r="BZ79" s="245" t="str">
        <f>IFERROR(IF(Tidstabel[[#This Row],[År]]&gt;Input_Tidshorisont,BlankTegn,
IF(Tidstabel[[#This Row],[År]]=0,0,Tidstabel[[#This Row],[AP_Uds?]]*AP_Enhedspris*((1+Tidstabel[[#This Row],[Kalkulationsrente]])^-Tidstabel[[#This Row],[År]])*((1+PrisudviklingGenerelt)^Tidstabel[[#This Row],[År]]))),BlankTegn)</f>
        <v>.</v>
      </c>
      <c r="CA79" s="262" t="str">
        <f>IFERROR(IF(Tidstabel[[#This Row],[År]]&gt;Input_Tidshorisont,BlankTegn,
IF(Tidstabel[[#This Row],[År]]=0,0,Tidstabel[[#This Row],[AP_Uds?]]*-AP_Enhedspris*AP_Genoprettelse*((1+Tidstabel[[#This Row],[Kalkulationsrente]])^-Tidstabel[[#This Row],[År]])*((1+PrisudviklingGenerelt)^Tidstabel[[#This Row],[År]]))),BlankTegn)</f>
        <v>.</v>
      </c>
      <c r="CB79" s="245" t="str">
        <f>IFERROR(IF(Tidstabel[[#This Row],[År]]&gt;Input_Tidshorisont,BlankTegn,
IF(Tidstabel[[#This Row],[År]]=0,-SK_Enhedspris,0)),BlankTegn)</f>
        <v>.</v>
      </c>
      <c r="CC79" s="245" t="str">
        <f>IFERROR(IF(Tidstabel[[#This Row],[År]]&gt;Input_Tidshorisont,BlankTegn,
IF(Tidstabel[[#This Row],[År]]=0,SK_Enhedspris/SK_Levetid,CC78*((1+Tidstabel[[#This Row],[Kalkulationsrente]])^-1)*((1+PrisudviklingGenerelt)^1))),BlankTegn)</f>
        <v>.</v>
      </c>
      <c r="CD79" s="178" t="str">
        <f ca="1">IFERROR(IF(Tidstabel[[#This Row],[År]]&gt;Input_Tidshorisont,BlankTegn,
IF(SK_Vedligehold_i=1,IF(Tidstabel[[#This Row],[SK_Uds?]]=0,1,0),IF(MAX(CD78:OFFSET(CE78,2-SK_Vedligehold_i,0),Tidstabel[[#This Row],[SK_Uds?]])=0,1,0))),BlankTegn)</f>
        <v>.</v>
      </c>
      <c r="CE79" s="178" t="str">
        <f>IFERROR(IF(Tidstabel[[#This Row],[År]]&gt;Input_Tidshorisont,BlankTegn,
IF(Tidstabel[[#This Row],[År]]=0,1,IF(MOD(Tidstabel[[#This Row],[År]],SK_Levetid)=0,1,IF(Tidstabel[[#This Row],[År]]=Input_Tidshorisont,0,0)))),BlankTegn)</f>
        <v>.</v>
      </c>
      <c r="CF79" s="245" t="str">
        <f>IFERROR(IF(Tidstabel[[#This Row],[År]]&gt;Input_Tidshorisont,BlankTegn,
SK_Vedligehold_p*-SK_Enhedspris*Tidstabel[[#This Row],[SK_Ved?]]*((1+Tidstabel[[#This Row],[Kalkulationsrente]])^-Tidstabel[[#This Row],[År]])*((1+PrisudviklingGenerelt)^Tidstabel[[#This Row],[År]])),BlankTegn)</f>
        <v>.</v>
      </c>
      <c r="CG79" s="245" t="str">
        <f>IFERROR(IF(Tidstabel[[#This Row],[År]]&gt;Input_Tidshorisont,BlankTegn,
IF(Tidstabel[[#This Row],[År]]=0,SK_Enhedspris,SUM(CG78:CH78)*((1+Tidstabel[[#This Row],[Kalkulationsrente]])^-1)*((1+PrisudviklingGenerelt)^1)-Tidstabel[[#This Row],[SK_Afskrivning]])),BlankTegn)</f>
        <v>.</v>
      </c>
      <c r="CH79" s="245" t="str">
        <f>IFERROR(IF(Tidstabel[[#This Row],[År]]&gt;Input_Tidshorisont,BlankTegn,
IF(Tidstabel[[#This Row],[År]]=0,0,Tidstabel[[#This Row],[SK_Uds?]]*SK_Enhedspris*((1+Tidstabel[[#This Row],[Kalkulationsrente]])^-Tidstabel[[#This Row],[År]])*((1+PrisudviklingGenerelt)^Tidstabel[[#This Row],[År]]))),BlankTegn)</f>
        <v>.</v>
      </c>
      <c r="CI79" s="262" t="str">
        <f>IFERROR(IF(Tidstabel[[#This Row],[År]]&gt;Input_Tidshorisont,BlankTegn,
IF(Tidstabel[[#This Row],[År]]=0,0,Tidstabel[[#This Row],[SK_Uds?]]*-SK_Enhedspris*SK_Genoprettelse*((1+Tidstabel[[#This Row],[Kalkulationsrente]])^-Tidstabel[[#This Row],[År]])*((1+PrisudviklingGenerelt)^Tidstabel[[#This Row],[År]]))),BlankTegn)</f>
        <v>.</v>
      </c>
      <c r="CJ79" s="19"/>
    </row>
    <row r="80" spans="1:88">
      <c r="A80" s="250">
        <v>73</v>
      </c>
      <c r="B80" s="250">
        <f>Input_Etableringsår+Tidstabel[[#This Row],[År]]</f>
        <v>2097</v>
      </c>
      <c r="C80" s="274" cm="1">
        <f t="array" ref="C80">_xlfn.IFS(Tidstabel[[#This Row],[År]]&gt;KR_Trin3_Tærskel,KR_Trin3_Rente,Tidstabel[[#This Row],[År]]&gt;KR_Trin2_Tærskel,KR_Trin2_Rente,Tidstabel[[#This Row],[År]]&gt;KR_Trin1_Tærskel,KR_Trin1_Rente,Tidstabel[[#This Row],[År]]&gt;KR_Trin0_Tærskel,KR_Trin0_Rente)</f>
        <v>1.4999999999999999E-2</v>
      </c>
      <c r="D80" s="142" t="str" cm="1">
        <f t="array" ref="D80">IFERROR(
INDEX(Range_Materiale_ÅrligeEmissioner,MATCH(1,(Materialedata[Komponent]=FB_Titel)*(Materialedata[Materiale]=FB_Materiale),0),MATCH(Tidstabel[[#This Row],[År]],Range_Materiale_År,0)),BlankTegn)</f>
        <v>.</v>
      </c>
      <c r="E80" s="142" t="str" cm="1">
        <f t="array" ref="E80">IFERROR(
INDEX(Range_Materiale_ÅrligeEmissioner,MATCH(1,(Materialedata[Komponent]=SK_Titel)*(Materialedata[Materiale]=SK_Materiale),0),MATCH(Tidstabel[[#This Row],[År]],Range_Materiale_År,0)),BlankTegn)</f>
        <v>.</v>
      </c>
      <c r="F80" s="142" t="str" cm="1">
        <f t="array" ref="F80">IFERROR(
INDEX(Range_Materiale_ÅrligeEmissioner,MATCH(1,(Materialedata[Komponent]=EI_Titel)*(Materialedata[Materiale]=EI_Materiale),0),MATCH(Tidstabel[[#This Row],[År]],Range_Materiale_År,0)),BlankTegn)</f>
        <v>.</v>
      </c>
      <c r="G80" s="142" t="str" cm="1">
        <f t="array" ref="G80">IFERROR(
INDEX(Range_Materiale_ÅrligeEmissioner,MATCH(1,(Materialedata[Komponent]=AP_Titel)*(Materialedata[Materiale]=AP_Materiale),0),MATCH(Tidstabel[[#This Row],[År]],Range_Materiale_År,0)),BlankTegn)</f>
        <v>.</v>
      </c>
      <c r="H80" s="142" t="str" cm="1">
        <f t="array" ref="H80">IFERROR(
INDEX(Range_Materiale_ÅrligeEmissioner,MATCH(1,(Materialedata[Komponent]=VS_Titel)*(Materialedata[Materiale]=VS_Materiale),0),MATCH(Tidstabel[[#This Row],[År]],Range_Materiale_År,0)),BlankTegn)</f>
        <v>.</v>
      </c>
      <c r="I80" s="142" t="str">
        <f>IFERROR(
IF(SUM(Tidstabel[[#This Row],[Facadebeklædning]:[Vindspærre]])=0,BlankTegn,
SUM(Tidstabel[[#This Row],[Facadebeklædning]:[Vindspærre]])),BlankTegn)</f>
        <v>.</v>
      </c>
      <c r="J80" s="139" t="str">
        <f>IF(Tidstabel[[#This Row],[År]]&gt;Input_Tidshorisont,BlankTegn,
A5_ElVarmeBrændstofByggeplads)</f>
        <v>.</v>
      </c>
      <c r="K80" s="142" t="str">
        <f>IFERROR(IF(Tidstabel[[#This Row],[År]]&gt;Input_Tidshorisont,BlankTegn,
-1*INDEX(Range_Energi_ÅrligBesparelse,MATCH(Input_EksisterendeFacade,Energiberegning[Ydervæg],0),MATCH(Tidstabel[[#This Row],[Årstal]],Range_Energi_Årstal,0))),BlankTegn)</f>
        <v>.</v>
      </c>
      <c r="L80" s="142" t="str">
        <f>IF(Tidstabel[[#This Row],[År]]&gt;Input_Tidshorisont,BlankTegn,
(Tidstabel[[#This Row],[År]]+1)*(SUM(Vedligeholdelsesmaterialer[Facadefarve],Vedligeholdelsesmaterialer[Grunder og mellemmaling])/12+SUM(Vedligeholdelsesmaterialer[Puds])/30))</f>
        <v>.</v>
      </c>
      <c r="M80" s="142" t="str">
        <f>IFERROR(IF(Tidstabel[[#This Row],[År]]&gt;Input_Tidshorisont,BlankTegn,
Tidstabel[[#This Row],[Materialer_Total]]+Tidstabel[[#This Row],[Byggeprocess]]),BlankTegn)</f>
        <v>.</v>
      </c>
      <c r="N80" s="142" t="str">
        <f>IFERROR(IF(Tidstabel[[#This Row],[År]]&gt;Input_Tidshorisont,BlankTegn,
Tidstabel[[#This Row],[Energibesparelse]]+Tidstabel[[#This Row],[Emission_Brutto]]),BlankTegn)</f>
        <v>.</v>
      </c>
      <c r="O80" s="142" t="str">
        <f>IFERROR(IF(Tidstabel[[#This Row],[År]]&gt;Input_Tidshorisont,BlankTegn,
Tidstabel[[#This Row],[Emission_Netto]]-Tidstabel[[#This Row],[Vedligehold_EksisterendeFacade]]),BlankTegn)</f>
        <v>.</v>
      </c>
      <c r="P80" s="271" t="str">
        <f>IFERROR(IF(Tidstabel[[#This Row],[År]]&gt;Input_Tidshorisont,BlankTegn,
IF(AND(Tidstabel[[#This Row],[Emission_Netto]]-Tidstabel[[#This Row],[Vedligehold_EksisterendeFacade]]&gt;0,N81-L81&lt;0),-1,IF(AND(Tidstabel[[#This Row],[Emission_Netto]]-Tidstabel[[#This Row],[Vedligehold_EksisterendeFacade]]&lt;0,N81-L81&gt;0),1,0))),BlankTegn)</f>
        <v>.</v>
      </c>
      <c r="Q80" s="174" t="str">
        <f>IF(Tidstabel[[#This Row],[År]]&gt;Input_Tidshorisont,BlankTegn,
IF(Tidstabel[[#This Row],[LCA-Skæring]]=-1,SUM(Tidstabel[[#This Row],[År]]*(1-ABS(Tidstabel[[#This Row],[LCA-Difference]])/(ABS(Tidstabel[[#This Row],[LCA-Difference]])+ABS(O81))),A81*(1-ABS(O81)/(ABS(Tidstabel[[#This Row],[LCA-Difference]])+ABS(O81)))),"-"))</f>
        <v>.</v>
      </c>
      <c r="R80" s="174" t="str">
        <f>IF(Tidstabel[[#This Row],[År]]&gt;Input_Tidshorisont,BlankTegn,
IF(Tidstabel[[#This Row],[LCA-Skæring]]=-1,SUM(Tidstabel[[#This Row],[Emission_Netto]]*(1-ABS(Tidstabel[[#This Row],[LCA-Difference]])/(ABS(Tidstabel[[#This Row],[LCA-Difference]])+ABS(O81))),N81*(1-ABS(O81)/(ABS(Tidstabel[[#This Row],[LCA-Difference]])+ABS(O81)))),"-"))</f>
        <v>.</v>
      </c>
      <c r="S80" s="174" t="str">
        <f>IF(Tidstabel[[#This Row],[År]]&gt;Input_Tidshorisont,BlankTegn,
IF(Tidstabel[[#This Row],[LCA-Skæring]]=1,SUM(Tidstabel[[#This Row],[År]]*(1-ABS(Tidstabel[[#This Row],[LCA-Difference]])/(ABS(Tidstabel[[#This Row],[LCA-Difference]])+ABS(O81))),A81*(1-ABS(O81)/(ABS(Tidstabel[[#This Row],[LCA-Difference]])+ABS(O81)))),"-"))</f>
        <v>.</v>
      </c>
      <c r="T80" s="264" t="str">
        <f>IF(Tidstabel[[#This Row],[År]]&gt;Input_Tidshorisont,BlankTegn,
IF(Tidstabel[[#This Row],[LCA-Skæring]]=1,SUM(Tidstabel[[#This Row],[Emission_Netto]]*(1-ABS(Tidstabel[[#This Row],[LCA-Difference]])/(ABS(Tidstabel[[#This Row],[LCA-Difference]])+ABS(O81))),N81*(1-ABS(O81)/(ABS(Tidstabel[[#This Row],[LCA-Difference]])+ABS(O81)))),"-"))</f>
        <v>.</v>
      </c>
      <c r="U80" s="142" t="str">
        <f>IFERROR(IF(Tidstabel[[#This Row],[År]]&gt;Input_Tidshorisont,BlankTegn,
Tidstabel[[#This Row],[NPV_Klimafacade]]-Tidstabel[[#This Row],[NPV_Eksisterende]]),BlankTegn)</f>
        <v>.</v>
      </c>
      <c r="V80" s="271" t="str">
        <f>IFERROR(IF(Tidstabel[[#This Row],[År]]&gt;Input_Tidshorisont,BlankTegn,
IF(AND(Tidstabel[[#This Row],[NPV_Klimafacade]]-Tidstabel[[#This Row],[NPV_Eksisterende]]&gt;0,AB81-AA81&lt;0),1,IF(AND(Tidstabel[[#This Row],[NPV_Klimafacade]]-Tidstabel[[#This Row],[NPV_Eksisterende]]&lt;0,AB81-AA81&gt;0),-1,0))),BlankTegn)</f>
        <v>.</v>
      </c>
      <c r="W80" s="174" t="str">
        <f>IF(Tidstabel[[#This Row],[År]]&gt;Input_Tidshorisont,BlankTegn,
IF(Tidstabel[[#This Row],[LCC-Skæring]]=-1,SUM(Tidstabel[[#This Row],[År]]*(1-ABS(Tidstabel[[#This Row],[LCC-Difference]])/(ABS(Tidstabel[[#This Row],[LCC-Difference]])+ABS(U81))),A81*(1-ABS(U81)/(ABS(Tidstabel[[#This Row],[LCC-Difference]])+ABS(U81)))),"-"))</f>
        <v>.</v>
      </c>
      <c r="X80" s="174" t="str">
        <f>IF(Tidstabel[[#This Row],[År]]&gt;Input_Tidshorisont,BlankTegn,
IF(Tidstabel[[#This Row],[LCC-Skæring]]=-1,SUM(Tidstabel[[#This Row],[NPV_Klimafacade]]*(1-ABS(Tidstabel[[#This Row],[LCC-Difference]])/(ABS(Tidstabel[[#This Row],[LCC-Difference]])+ABS(U81))),AB81*(1-ABS(U81)/(ABS(Tidstabel[[#This Row],[LCC-Difference]])+ABS(U81)))),"-"))</f>
        <v>.</v>
      </c>
      <c r="Y80" s="174" t="str">
        <f>IF(Tidstabel[[#This Row],[År]]&gt;Input_Tidshorisont,BlankTegn,
IF(Tidstabel[[#This Row],[LCC-Skæring]]=1,SUM(Tidstabel[[#This Row],[År]]*(1-ABS(Tidstabel[[#This Row],[LCC-Difference]])/(ABS(Tidstabel[[#This Row],[LCC-Difference]])+ABS(U81))),A81*(1-ABS(U81)/(ABS(Tidstabel[[#This Row],[LCC-Difference]])+ABS(U81)))),"-"))</f>
        <v>.</v>
      </c>
      <c r="Z80" s="264" t="str">
        <f>IF(Tidstabel[[#This Row],[År]]&gt;Input_Tidshorisont,BlankTegn,
IF(Tidstabel[[#This Row],[LCC-Skæring]]=1,SUM(Tidstabel[[#This Row],[NPV_Klimafacade]]*(1-ABS(Tidstabel[[#This Row],[LCC-Difference]])/(ABS(Tidstabel[[#This Row],[LCC-Difference]])+ABS(U81))),AB81*(1-ABS(U81)/(ABS(Tidstabel[[#This Row],[LCC-Difference]])+ABS(U81)))),"-"))</f>
        <v>.</v>
      </c>
      <c r="AA80" s="142" t="str">
        <f>IF(Tidstabel[[#This Row],[År]]&gt;Input_Tidshorisont,BlankTegn,
Tidstabel[[#This Row],[EF_Vedligehold_Aggregeret]])</f>
        <v>.</v>
      </c>
      <c r="AB80"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80" s="142" t="str">
        <f>IFERROR(IF(Tidstabel[[#This Row],[År]]&gt;Input_Tidshorisont,BlankTegn,
Tidstabel[[#This Row],[KF_Anskaffelse_Aggregeret]]+Tidstabel[[#This Row],[KF_Engangsudgifter_Aggregeret]]),BlankTegn)</f>
        <v>.</v>
      </c>
      <c r="AD80" s="174" t="str">
        <f>IFERROR(IF(Tidstabel[[#This Row],[År]]&gt;Input_Tidshorisont,BlankTegn,
IF(Tidstabel[[#This Row],[År]]=0,0,Tidstabel[[#This Row],[NPV_Eksisterende]]*(Tidstabel[[#This Row],[Kalkulationsrente]]/(1-(1+Tidstabel[[#This Row],[Kalkulationsrente]])^-Tidstabel[[#This Row],[År]])))),BlankTegn)</f>
        <v>.</v>
      </c>
      <c r="AE80" s="264" t="str">
        <f>IFERROR(IF(Tidstabel[[#This Row],[År]]&gt;Input_Tidshorisont,BlankTegn,
IF(Tidstabel[[#This Row],[År]]=0,0,Tidstabel[[#This Row],[NPV_Klimafacade]]*(Tidstabel[[#This Row],[Kalkulationsrente]]/(1-(1+Tidstabel[[#This Row],[Kalkulationsrente]])^-Tidstabel[[#This Row],[År]])))),BlankTegn)</f>
        <v>.</v>
      </c>
      <c r="AF80" s="270" t="str">
        <f ca="1">IF(Tidstabel[[#This Row],[År]]&gt;Input_Tidshorisont,BlankTegn,
IF(EF_Vedligehold_i=1,IF(Tidstabel[[#This Row],[EF_Uds?]]=0,1,0),IF(MAX(AF79:OFFSET(AG79,2-EF_Vedligehold_i,0),Tidstabel[[#This Row],[EF_Uds?]])=0,1,0)))</f>
        <v>.</v>
      </c>
      <c r="AG80" s="181" t="str">
        <f>IF(Tidstabel[[#This Row],[År]]&gt;Input_Tidshorisont,BlankTegn,0)</f>
        <v>.</v>
      </c>
      <c r="AH80" s="263" t="str">
        <f>IF(Tidstabel[[#This Row],[År]]&gt;Input_Tidshorisont,BlankTegn,
Tidstabel[[#This Row],[EF_Ved?]]*EF_Vedligehold_p*-EF_Enhedspris*((1+Tidstabel[[#This Row],[Kalkulationsrente]])^-Tidstabel[[#This Row],[År]])*((1+PrisudviklingGenerelt)^Tidstabel[[#This Row],[År]]))</f>
        <v>.</v>
      </c>
      <c r="AI80" s="262" t="str">
        <f>IF(Tidstabel[[#This Row],[År]]&gt;Input_Tidshorisont,BlankTegn,
IF(Tidstabel[[#This Row],[År]]=0,Tidstabel[[#This Row],[EF_Vedligehold]],AI79+Tidstabel[[#This Row],[EF_Vedligehold]]))</f>
        <v>.</v>
      </c>
      <c r="AJ80" s="245" t="str">
        <f>IFERROR(IF(Tidstabel[[#This Row],[År]]&gt;Input_Tidshorisont,BlankTegn,
Tidstabel[[#This Row],[FB_Anskaffelse]]+Tidstabel[[#This Row],[VS_Anskaffelse]]+Tidstabel[[#This Row],[EI_Anskaffelse]]+Tidstabel[[#This Row],[AP_Anskaffelse]]+Tidstabel[[#This Row],[SK_Anskaffelse]]),BlankTegn)</f>
        <v>.</v>
      </c>
      <c r="AK80" s="245" t="str">
        <f>IFERROR(IF(Tidstabel[[#This Row],[År]]&gt;Input_Tidshorisont,BlankTegn,
IF(Tidstabel[[#This Row],[År]]=0,Tidstabel[[#This Row],[KF_Anskaffelse]],AK79+Tidstabel[[#This Row],[KF_Anskaffelse]])),BlankTegn)</f>
        <v>.</v>
      </c>
      <c r="AL80" s="246" t="str">
        <f>IFERROR(IF(Tidstabel[[#This Row],[År]]&gt;Input_Tidshorisont,BlankTegn,
Tidstabel[[#This Row],[FB_Vedligehold]]+Tidstabel[[#This Row],[VS_Vedligehold]]+Tidstabel[[#This Row],[EI_Vedligehold]]+Tidstabel[[#This Row],[AP_Vedligehold]]+Tidstabel[[#This Row],[SK_Vedligehold]]),BlankTegn)</f>
        <v>.</v>
      </c>
      <c r="AM80" s="245" t="str">
        <f>IFERROR(IF(Tidstabel[[#This Row],[År]]&gt;Input_Tidshorisont,BlankTegn,
IF(Tidstabel[[#This Row],[År]]=0,Tidstabel[[#This Row],[KF_Vedligehold]],AM79+Tidstabel[[#This Row],[KF_Vedligehold]])),BlankTegn)</f>
        <v>.</v>
      </c>
      <c r="AN80"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80"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80" s="245" t="str">
        <f>IFERROR(IF(Tidstabel[[#This Row],[År]]&gt;Input_Tidshorisont,BlankTegn,
IF(Tidstabel[[#This Row],[År]]=0,Tidstabel[[#This Row],[KF_Udskiftning_Komponent]],AP79+Tidstabel[[#This Row],[KF_Udskiftning_Komponent]])),BlankTegn)</f>
        <v>.</v>
      </c>
      <c r="AQ80" s="245" t="str">
        <f>IF(Tidstabel[[#This Row],[År]]&gt;Input_Tidshorisont,BlankTegn,
IF(Tidstabel[[#This Row],[År]]=0,-SUM(Engangsudgifter[Udgift]),0))</f>
        <v>.</v>
      </c>
      <c r="AR80" s="245" t="str">
        <f>IFERROR(IF(Tidstabel[[#This Row],[År]]&gt;Input_Tidshorisont,BlankTegn,
IF(Tidstabel[[#This Row],[År]]=0,Tidstabel[[#This Row],[KF_Engangsudgifter]],AR79+Tidstabel[[#This Row],[KF_Engangsudgifter]])),BlankTegn)</f>
        <v>.</v>
      </c>
      <c r="AS80" s="315" t="str">
        <f>IFERROR(IF(Tidstabel[[#This Row],[År]]&gt;Input_Tidshorisont,BlankTegn,
-Energibesparelse_Årlig),BlankTegn)</f>
        <v>.</v>
      </c>
      <c r="AT80" s="245" t="str">
        <f>IFERROR(IF(Tidstabel[[#This Row],[År]]&gt;Input_Tidshorisont,BlankTegn,
IF(Tidstabel[[#This Row],[År]]=0,0,-Tidstabel[[#This Row],[KF_Energiforbrug]]*Input_Fjernvarmepris*((1+Tidstabel[[#This Row],[Kalkulationsrente]])^-Tidstabel[[#This Row],[År]])*((1+PrisudviklingFjernvarme)^Tidstabel[[#This Row],[År]]))),BlankTegn)</f>
        <v>.</v>
      </c>
      <c r="AU80" s="262" t="str">
        <f>IFERROR(IF(Tidstabel[[#This Row],[År]]&gt;Input_Tidshorisont,BlankTegn,
IF(Tidstabel[[#This Row],[År]]=0,Tidstabel[[#This Row],[KF_Forsyning]],AU79+Tidstabel[[#This Row],[KF_Forsyning]])),BlankTegn)</f>
        <v>.</v>
      </c>
      <c r="AV80" s="245" t="str">
        <f>IFERROR(IF(Tidstabel[[#This Row],[År]]&gt;Input_Tidshorisont,BlankTegn,
IF(Tidstabel[[#This Row],[År]]=0,-FB_Enhedspris,0)),BlankTegn)</f>
        <v>.</v>
      </c>
      <c r="AW80" s="245" t="str">
        <f>IFERROR(IF(Tidstabel[[#This Row],[År]]&gt;Input_Tidshorisont,BlankTegn,
IF(Tidstabel[[#This Row],[År]]=0,FB_Enhedspris/FB_Levetid,AW79*((1+Tidstabel[[#This Row],[Kalkulationsrente]])^-1)*((1+PrisudviklingGenerelt)^1))),BlankTegn)</f>
        <v>.</v>
      </c>
      <c r="AX80" s="178" t="str">
        <f ca="1">IFERROR(IF(Tidstabel[[#This Row],[År]]&gt;Input_Tidshorisont,BlankTegn,
IF(FB_Vedligehold_i=1,IF(Tidstabel[[#This Row],[FB_Uds?]]=0,1,0),IF(MAX(AX79:OFFSET(AY79,2-FB_Vedligehold_i,0),Tidstabel[[#This Row],[FB_Uds?]])=0,1,0))),BlankTegn)</f>
        <v>.</v>
      </c>
      <c r="AY80" s="178" t="str">
        <f>IFERROR(IF(Tidstabel[[#This Row],[År]]&gt;Input_Tidshorisont,BlankTegn,
IF(Tidstabel[[#This Row],[År]]=0,1,IF(MOD(Tidstabel[[#This Row],[År]],FB_Levetid)=0,1,IF(Tidstabel[[#This Row],[År]]=Input_Tidshorisont,0,0)))),BlankTegn)</f>
        <v>.</v>
      </c>
      <c r="AZ80" s="245" t="str">
        <f>IFERROR(IF(Tidstabel[[#This Row],[År]]&gt;Input_Tidshorisont,BlankTegn,
FB_Vedligehold_p*-FB_Enhedspris*Tidstabel[[#This Row],[FB_Ved?]]*((1+Tidstabel[[#This Row],[Kalkulationsrente]])^-Tidstabel[[#This Row],[År]])*((1+PrisudviklingGenerelt)^Tidstabel[[#This Row],[År]])),BlankTegn)</f>
        <v>.</v>
      </c>
      <c r="BA80" s="245" t="str">
        <f>IFERROR(IF(Tidstabel[[#This Row],[År]]&gt;Input_Tidshorisont,BlankTegn,
IF(Tidstabel[[#This Row],[År]]=0,FB_Enhedspris,SUM(BA79:BB79)*((1+Tidstabel[[#This Row],[Kalkulationsrente]])^-1)*((1+PrisudviklingGenerelt)^1)-Tidstabel[[#This Row],[FB_Afskrivning]])),BlankTegn)</f>
        <v>.</v>
      </c>
      <c r="BB80" s="245" t="str">
        <f>IFERROR(IF(Tidstabel[[#This Row],[År]]&gt;Input_Tidshorisont,BlankTegn,
IF(Tidstabel[[#This Row],[År]]=0,0,Tidstabel[[#This Row],[FB_Uds?]]*FB_Enhedspris*((1+Tidstabel[[#This Row],[Kalkulationsrente]])^-Tidstabel[[#This Row],[År]])*((1+PrisudviklingGenerelt)^Tidstabel[[#This Row],[År]]))),BlankTegn)</f>
        <v>.</v>
      </c>
      <c r="BC80" s="262" t="str">
        <f>IFERROR(IF(Tidstabel[[#This Row],[År]]&gt;Input_Tidshorisont,BlankTegn,
IF(Tidstabel[[#This Row],[År]]=0,0,Tidstabel[[#This Row],[FB_Uds?]]*-FB_Enhedspris*FB_Genoprettelse*((1+Tidstabel[[#This Row],[Kalkulationsrente]])^-Tidstabel[[#This Row],[År]])*((1+PrisudviklingGenerelt)^Tidstabel[[#This Row],[År]]))),BlankTegn)</f>
        <v>.</v>
      </c>
      <c r="BD80" s="245" t="str">
        <f>IFERROR(IF(Tidstabel[[#This Row],[År]]&gt;Input_Tidshorisont,BlankTegn,
IF(Tidstabel[[#This Row],[År]]=0,-VS_Enhedspris,0)),BlankTegn)</f>
        <v>.</v>
      </c>
      <c r="BE80" s="245" t="str">
        <f>IFERROR(IF(Tidstabel[[#This Row],[År]]&gt;Input_Tidshorisont,BlankTegn,
IF(Tidstabel[[#This Row],[År]]=0,VS_Enhedspris/VS_Levetid,BE79*((1+Tidstabel[[#This Row],[Kalkulationsrente]])^-1)*((1+PrisudviklingGenerelt)^1))),BlankTegn)</f>
        <v>.</v>
      </c>
      <c r="BF80" s="178" t="str">
        <f ca="1">IFERROR(IF(Tidstabel[[#This Row],[År]]&gt;Input_Tidshorisont,BlankTegn,
IF(VS_Vedligehold_i=1,IF(Tidstabel[[#This Row],[VS_Uds?]]=0,1,0),IF(MAX(BF79:OFFSET(BG79,2-VS_Vedligehold_i,0),Tidstabel[[#This Row],[VS_Uds?]])=0,1,0))),BlankTegn)</f>
        <v>.</v>
      </c>
      <c r="BG80" s="178" t="str">
        <f>IFERROR(IF(Tidstabel[[#This Row],[År]]&gt;Input_Tidshorisont,BlankTegn,
IF(Tidstabel[[#This Row],[År]]=0,1,IF(MOD(Tidstabel[[#This Row],[År]],VS_Levetid)=0,1,IF(Tidstabel[[#This Row],[År]]=Input_Tidshorisont,0,0)))),BlankTegn)</f>
        <v>.</v>
      </c>
      <c r="BH80" s="245" t="str">
        <f>IFERROR(IF(Tidstabel[[#This Row],[År]]&gt;Input_Tidshorisont,BlankTegn,
VS_Vedligehold_p*-VS_Enhedspris*Tidstabel[[#This Row],[VS_Ved?]]*((1+Tidstabel[[#This Row],[Kalkulationsrente]])^-Tidstabel[[#This Row],[År]])*((1+PrisudviklingGenerelt)^Tidstabel[[#This Row],[År]])),BlankTegn)</f>
        <v>.</v>
      </c>
      <c r="BI80" s="245" t="str">
        <f>IFERROR(IF(Tidstabel[[#This Row],[År]]&gt;Input_Tidshorisont,BlankTegn,
IF(Tidstabel[[#This Row],[År]]=0,VS_Enhedspris,SUM(BI79:BJ79)*((1+Tidstabel[[#This Row],[Kalkulationsrente]])^-1)*((1+PrisudviklingGenerelt)^1)-Tidstabel[[#This Row],[VS_Afskrivning]])),BlankTegn)</f>
        <v>.</v>
      </c>
      <c r="BJ80" s="245" t="str">
        <f>IFERROR(IF(Tidstabel[[#This Row],[År]]&gt;Input_Tidshorisont,BlankTegn,
IF(Tidstabel[[#This Row],[År]]=0,0,Tidstabel[[#This Row],[VS_Uds?]]*VS_Enhedspris*((1+Tidstabel[[#This Row],[Kalkulationsrente]])^-Tidstabel[[#This Row],[År]])*((1+PrisudviklingGenerelt)^Tidstabel[[#This Row],[År]]))),BlankTegn)</f>
        <v>.</v>
      </c>
      <c r="BK80" s="262" t="str">
        <f>IFERROR(IF(Tidstabel[[#This Row],[År]]&gt;Input_Tidshorisont,BlankTegn,
IF(Tidstabel[[#This Row],[År]]=0,0,Tidstabel[[#This Row],[VS_Uds?]]*-VS_Enhedspris*VS_Genoprettelse*((1+Tidstabel[[#This Row],[Kalkulationsrente]])^-Tidstabel[[#This Row],[År]])*((1+PrisudviklingGenerelt)^Tidstabel[[#This Row],[År]]))),BlankTegn)</f>
        <v>.</v>
      </c>
      <c r="BL80" s="245" t="str">
        <f>IFERROR(IF(Tidstabel[[#This Row],[År]]&gt;Input_Tidshorisont,BlankTegn,
IF(Tidstabel[[#This Row],[År]]=0,-EI_Enhedspris,0)),BlankTegn)</f>
        <v>.</v>
      </c>
      <c r="BM80" s="245" t="str">
        <f>IFERROR(IF(Tidstabel[[#This Row],[År]]&gt;Input_Tidshorisont,BlankTegn,
IF(Tidstabel[[#This Row],[År]]=0,EI_Enhedspris/EI_Levetid,BM79*((1+Tidstabel[[#This Row],[Kalkulationsrente]])^-1)*((1+PrisudviklingGenerelt)^1))),BlankTegn)</f>
        <v>.</v>
      </c>
      <c r="BN80" s="178" t="str">
        <f ca="1">IFERROR(IF(Tidstabel[[#This Row],[År]]&gt;Input_Tidshorisont,BlankTegn,
IF(EI_Vedligehold_i=1,IF(Tidstabel[[#This Row],[EI_Uds?]]=0,1,0),IF(MAX(BN79:OFFSET(BO79,2-EI_Vedligehold_i,0),Tidstabel[[#This Row],[EI_Uds?]])=0,1,0))),BlankTegn)</f>
        <v>.</v>
      </c>
      <c r="BO80" s="178" t="str">
        <f>IFERROR(IF(Tidstabel[[#This Row],[År]]&gt;Input_Tidshorisont,BlankTegn,
IF(Tidstabel[[#This Row],[År]]=0,1,IF(MOD(Tidstabel[[#This Row],[År]],EI_Levetid)=0,1,IF(Tidstabel[[#This Row],[År]]=Input_Tidshorisont,0,0)))),BlankTegn)</f>
        <v>.</v>
      </c>
      <c r="BP80" s="245" t="str">
        <f>IFERROR(IF(Tidstabel[[#This Row],[År]]&gt;Input_Tidshorisont,BlankTegn,
EI_Vedligehold_p*-EI_Enhedspris*Tidstabel[[#This Row],[EI_Ved?]]*((1+Tidstabel[[#This Row],[Kalkulationsrente]])^-Tidstabel[[#This Row],[År]])*((1+PrisudviklingGenerelt)^Tidstabel[[#This Row],[År]])),BlankTegn)</f>
        <v>.</v>
      </c>
      <c r="BQ80" s="245" t="str">
        <f>IFERROR(IF(Tidstabel[[#This Row],[År]]&gt;Input_Tidshorisont,BlankTegn,
IF(Tidstabel[[#This Row],[År]]=0,EI_Enhedspris,SUM(BQ79:BR79)*((1+Tidstabel[[#This Row],[Kalkulationsrente]])^-1)*((1+PrisudviklingGenerelt)^1)-Tidstabel[[#This Row],[EI_Afskrivning]])),BlankTegn)</f>
        <v>.</v>
      </c>
      <c r="BR80" s="245" t="str">
        <f>IFERROR(IF(Tidstabel[[#This Row],[År]]&gt;Input_Tidshorisont,BlankTegn,
IF(Tidstabel[[#This Row],[År]]=0,0,Tidstabel[[#This Row],[EI_Uds?]]*EI_Enhedspris*((1+Tidstabel[[#This Row],[Kalkulationsrente]])^-Tidstabel[[#This Row],[År]])*((1+PrisudviklingGenerelt)^Tidstabel[[#This Row],[År]]))),BlankTegn)</f>
        <v>.</v>
      </c>
      <c r="BS80" s="262" t="str">
        <f>IFERROR(IF(Tidstabel[[#This Row],[År]]&gt;Input_Tidshorisont,BlankTegn,
IF(Tidstabel[[#This Row],[År]]=0,0,Tidstabel[[#This Row],[EI_Uds?]]*-EI_Enhedspris*EI_Genoprettelse*((1+Tidstabel[[#This Row],[Kalkulationsrente]])^-Tidstabel[[#This Row],[År]])*((1+PrisudviklingGenerelt)^Tidstabel[[#This Row],[År]]))),BlankTegn)</f>
        <v>.</v>
      </c>
      <c r="BT80" s="245" t="str">
        <f>IFERROR(IF(Tidstabel[[#This Row],[År]]&gt;Input_Tidshorisont,BlankTegn,
IF(Tidstabel[[#This Row],[År]]=0,-AP_Enhedspris,0)),BlankTegn)</f>
        <v>.</v>
      </c>
      <c r="BU80" s="245" t="str">
        <f>IFERROR(IF(Tidstabel[[#This Row],[År]]&gt;Input_Tidshorisont,BlankTegn,
IF(Tidstabel[[#This Row],[År]]=0,AP_Enhedspris/AP_Levetid,BU79*((1+Tidstabel[[#This Row],[Kalkulationsrente]])^-1)*((1+PrisudviklingGenerelt)^1))),BlankTegn)</f>
        <v>.</v>
      </c>
      <c r="BV80" s="178" t="str">
        <f ca="1">IFERROR(IF(Tidstabel[[#This Row],[År]]&gt;Input_Tidshorisont,BlankTegn,
IF(AP_Vedligehold_i=1,IF(Tidstabel[[#This Row],[AP_Uds?]]=0,1,0),IF(MAX(BV79:OFFSET(BW79,2-AP_Vedligehold_i,0),Tidstabel[[#This Row],[AP_Uds?]])=0,1,0))),BlankTegn)</f>
        <v>.</v>
      </c>
      <c r="BW80" s="178" t="str">
        <f>IFERROR(IF(Tidstabel[[#This Row],[År]]&gt;Input_Tidshorisont,BlankTegn,
IF(Tidstabel[[#This Row],[År]]=0,1,IF(MOD(Tidstabel[[#This Row],[År]],AP_Levetid)=0,1,IF(Tidstabel[[#This Row],[År]]=Input_Tidshorisont,0,0)))),BlankTegn)</f>
        <v>.</v>
      </c>
      <c r="BX80" s="245" t="str">
        <f>IFERROR(IF(Tidstabel[[#This Row],[År]]&gt;Input_Tidshorisont,BlankTegn,
AP_Vedligehold_p*-AP_Enhedspris*Tidstabel[[#This Row],[AP_Ved?]]*((1+Tidstabel[[#This Row],[Kalkulationsrente]])^-Tidstabel[[#This Row],[År]])*((1+PrisudviklingGenerelt)^Tidstabel[[#This Row],[År]])),BlankTegn)</f>
        <v>.</v>
      </c>
      <c r="BY80" s="245" t="str">
        <f>IFERROR(IF(Tidstabel[[#This Row],[År]]&gt;Input_Tidshorisont,BlankTegn,
IF(Tidstabel[[#This Row],[År]]=0,AP_Enhedspris,SUM(BY79:BZ79)*((1+Tidstabel[[#This Row],[Kalkulationsrente]])^-1)*((1+PrisudviklingGenerelt)^1)-Tidstabel[[#This Row],[AP_Afskrivning]])),BlankTegn)</f>
        <v>.</v>
      </c>
      <c r="BZ80" s="245" t="str">
        <f>IFERROR(IF(Tidstabel[[#This Row],[År]]&gt;Input_Tidshorisont,BlankTegn,
IF(Tidstabel[[#This Row],[År]]=0,0,Tidstabel[[#This Row],[AP_Uds?]]*AP_Enhedspris*((1+Tidstabel[[#This Row],[Kalkulationsrente]])^-Tidstabel[[#This Row],[År]])*((1+PrisudviklingGenerelt)^Tidstabel[[#This Row],[År]]))),BlankTegn)</f>
        <v>.</v>
      </c>
      <c r="CA80" s="262" t="str">
        <f>IFERROR(IF(Tidstabel[[#This Row],[År]]&gt;Input_Tidshorisont,BlankTegn,
IF(Tidstabel[[#This Row],[År]]=0,0,Tidstabel[[#This Row],[AP_Uds?]]*-AP_Enhedspris*AP_Genoprettelse*((1+Tidstabel[[#This Row],[Kalkulationsrente]])^-Tidstabel[[#This Row],[År]])*((1+PrisudviklingGenerelt)^Tidstabel[[#This Row],[År]]))),BlankTegn)</f>
        <v>.</v>
      </c>
      <c r="CB80" s="245" t="str">
        <f>IFERROR(IF(Tidstabel[[#This Row],[År]]&gt;Input_Tidshorisont,BlankTegn,
IF(Tidstabel[[#This Row],[År]]=0,-SK_Enhedspris,0)),BlankTegn)</f>
        <v>.</v>
      </c>
      <c r="CC80" s="245" t="str">
        <f>IFERROR(IF(Tidstabel[[#This Row],[År]]&gt;Input_Tidshorisont,BlankTegn,
IF(Tidstabel[[#This Row],[År]]=0,SK_Enhedspris/SK_Levetid,CC79*((1+Tidstabel[[#This Row],[Kalkulationsrente]])^-1)*((1+PrisudviklingGenerelt)^1))),BlankTegn)</f>
        <v>.</v>
      </c>
      <c r="CD80" s="178" t="str">
        <f ca="1">IFERROR(IF(Tidstabel[[#This Row],[År]]&gt;Input_Tidshorisont,BlankTegn,
IF(SK_Vedligehold_i=1,IF(Tidstabel[[#This Row],[SK_Uds?]]=0,1,0),IF(MAX(CD79:OFFSET(CE79,2-SK_Vedligehold_i,0),Tidstabel[[#This Row],[SK_Uds?]])=0,1,0))),BlankTegn)</f>
        <v>.</v>
      </c>
      <c r="CE80" s="178" t="str">
        <f>IFERROR(IF(Tidstabel[[#This Row],[År]]&gt;Input_Tidshorisont,BlankTegn,
IF(Tidstabel[[#This Row],[År]]=0,1,IF(MOD(Tidstabel[[#This Row],[År]],SK_Levetid)=0,1,IF(Tidstabel[[#This Row],[År]]=Input_Tidshorisont,0,0)))),BlankTegn)</f>
        <v>.</v>
      </c>
      <c r="CF80" s="245" t="str">
        <f>IFERROR(IF(Tidstabel[[#This Row],[År]]&gt;Input_Tidshorisont,BlankTegn,
SK_Vedligehold_p*-SK_Enhedspris*Tidstabel[[#This Row],[SK_Ved?]]*((1+Tidstabel[[#This Row],[Kalkulationsrente]])^-Tidstabel[[#This Row],[År]])*((1+PrisudviklingGenerelt)^Tidstabel[[#This Row],[År]])),BlankTegn)</f>
        <v>.</v>
      </c>
      <c r="CG80" s="245" t="str">
        <f>IFERROR(IF(Tidstabel[[#This Row],[År]]&gt;Input_Tidshorisont,BlankTegn,
IF(Tidstabel[[#This Row],[År]]=0,SK_Enhedspris,SUM(CG79:CH79)*((1+Tidstabel[[#This Row],[Kalkulationsrente]])^-1)*((1+PrisudviklingGenerelt)^1)-Tidstabel[[#This Row],[SK_Afskrivning]])),BlankTegn)</f>
        <v>.</v>
      </c>
      <c r="CH80" s="245" t="str">
        <f>IFERROR(IF(Tidstabel[[#This Row],[År]]&gt;Input_Tidshorisont,BlankTegn,
IF(Tidstabel[[#This Row],[År]]=0,0,Tidstabel[[#This Row],[SK_Uds?]]*SK_Enhedspris*((1+Tidstabel[[#This Row],[Kalkulationsrente]])^-Tidstabel[[#This Row],[År]])*((1+PrisudviklingGenerelt)^Tidstabel[[#This Row],[År]]))),BlankTegn)</f>
        <v>.</v>
      </c>
      <c r="CI80" s="262" t="str">
        <f>IFERROR(IF(Tidstabel[[#This Row],[År]]&gt;Input_Tidshorisont,BlankTegn,
IF(Tidstabel[[#This Row],[År]]=0,0,Tidstabel[[#This Row],[SK_Uds?]]*-SK_Enhedspris*SK_Genoprettelse*((1+Tidstabel[[#This Row],[Kalkulationsrente]])^-Tidstabel[[#This Row],[År]])*((1+PrisudviklingGenerelt)^Tidstabel[[#This Row],[År]]))),BlankTegn)</f>
        <v>.</v>
      </c>
      <c r="CJ80" s="19"/>
    </row>
    <row r="81" spans="1:88">
      <c r="A81" s="250">
        <v>74</v>
      </c>
      <c r="B81" s="250">
        <f>Input_Etableringsår+Tidstabel[[#This Row],[År]]</f>
        <v>2098</v>
      </c>
      <c r="C81" s="274" cm="1">
        <f t="array" ref="C81">_xlfn.IFS(Tidstabel[[#This Row],[År]]&gt;KR_Trin3_Tærskel,KR_Trin3_Rente,Tidstabel[[#This Row],[År]]&gt;KR_Trin2_Tærskel,KR_Trin2_Rente,Tidstabel[[#This Row],[År]]&gt;KR_Trin1_Tærskel,KR_Trin1_Rente,Tidstabel[[#This Row],[År]]&gt;KR_Trin0_Tærskel,KR_Trin0_Rente)</f>
        <v>1.4999999999999999E-2</v>
      </c>
      <c r="D81" s="142" t="str" cm="1">
        <f t="array" ref="D81">IFERROR(
INDEX(Range_Materiale_ÅrligeEmissioner,MATCH(1,(Materialedata[Komponent]=FB_Titel)*(Materialedata[Materiale]=FB_Materiale),0),MATCH(Tidstabel[[#This Row],[År]],Range_Materiale_År,0)),BlankTegn)</f>
        <v>.</v>
      </c>
      <c r="E81" s="142" t="str" cm="1">
        <f t="array" ref="E81">IFERROR(
INDEX(Range_Materiale_ÅrligeEmissioner,MATCH(1,(Materialedata[Komponent]=SK_Titel)*(Materialedata[Materiale]=SK_Materiale),0),MATCH(Tidstabel[[#This Row],[År]],Range_Materiale_År,0)),BlankTegn)</f>
        <v>.</v>
      </c>
      <c r="F81" s="142" t="str" cm="1">
        <f t="array" ref="F81">IFERROR(
INDEX(Range_Materiale_ÅrligeEmissioner,MATCH(1,(Materialedata[Komponent]=EI_Titel)*(Materialedata[Materiale]=EI_Materiale),0),MATCH(Tidstabel[[#This Row],[År]],Range_Materiale_År,0)),BlankTegn)</f>
        <v>.</v>
      </c>
      <c r="G81" s="142" t="str" cm="1">
        <f t="array" ref="G81">IFERROR(
INDEX(Range_Materiale_ÅrligeEmissioner,MATCH(1,(Materialedata[Komponent]=AP_Titel)*(Materialedata[Materiale]=AP_Materiale),0),MATCH(Tidstabel[[#This Row],[År]],Range_Materiale_År,0)),BlankTegn)</f>
        <v>.</v>
      </c>
      <c r="H81" s="142" t="str" cm="1">
        <f t="array" ref="H81">IFERROR(
INDEX(Range_Materiale_ÅrligeEmissioner,MATCH(1,(Materialedata[Komponent]=VS_Titel)*(Materialedata[Materiale]=VS_Materiale),0),MATCH(Tidstabel[[#This Row],[År]],Range_Materiale_År,0)),BlankTegn)</f>
        <v>.</v>
      </c>
      <c r="I81" s="142" t="str">
        <f>IFERROR(
IF(SUM(Tidstabel[[#This Row],[Facadebeklædning]:[Vindspærre]])=0,BlankTegn,
SUM(Tidstabel[[#This Row],[Facadebeklædning]:[Vindspærre]])),BlankTegn)</f>
        <v>.</v>
      </c>
      <c r="J81" s="139" t="str">
        <f>IF(Tidstabel[[#This Row],[År]]&gt;Input_Tidshorisont,BlankTegn,
A5_ElVarmeBrændstofByggeplads)</f>
        <v>.</v>
      </c>
      <c r="K81" s="142" t="str">
        <f>IFERROR(IF(Tidstabel[[#This Row],[År]]&gt;Input_Tidshorisont,BlankTegn,
-1*INDEX(Range_Energi_ÅrligBesparelse,MATCH(Input_EksisterendeFacade,Energiberegning[Ydervæg],0),MATCH(Tidstabel[[#This Row],[Årstal]],Range_Energi_Årstal,0))),BlankTegn)</f>
        <v>.</v>
      </c>
      <c r="L81" s="142" t="str">
        <f>IF(Tidstabel[[#This Row],[År]]&gt;Input_Tidshorisont,BlankTegn,
(Tidstabel[[#This Row],[År]]+1)*(SUM(Vedligeholdelsesmaterialer[Facadefarve],Vedligeholdelsesmaterialer[Grunder og mellemmaling])/12+SUM(Vedligeholdelsesmaterialer[Puds])/30))</f>
        <v>.</v>
      </c>
      <c r="M81" s="142" t="str">
        <f>IFERROR(IF(Tidstabel[[#This Row],[År]]&gt;Input_Tidshorisont,BlankTegn,
Tidstabel[[#This Row],[Materialer_Total]]+Tidstabel[[#This Row],[Byggeprocess]]),BlankTegn)</f>
        <v>.</v>
      </c>
      <c r="N81" s="142" t="str">
        <f>IFERROR(IF(Tidstabel[[#This Row],[År]]&gt;Input_Tidshorisont,BlankTegn,
Tidstabel[[#This Row],[Energibesparelse]]+Tidstabel[[#This Row],[Emission_Brutto]]),BlankTegn)</f>
        <v>.</v>
      </c>
      <c r="O81" s="142" t="str">
        <f>IFERROR(IF(Tidstabel[[#This Row],[År]]&gt;Input_Tidshorisont,BlankTegn,
Tidstabel[[#This Row],[Emission_Netto]]-Tidstabel[[#This Row],[Vedligehold_EksisterendeFacade]]),BlankTegn)</f>
        <v>.</v>
      </c>
      <c r="P81" s="271" t="str">
        <f>IFERROR(IF(Tidstabel[[#This Row],[År]]&gt;Input_Tidshorisont,BlankTegn,
IF(AND(Tidstabel[[#This Row],[Emission_Netto]]-Tidstabel[[#This Row],[Vedligehold_EksisterendeFacade]]&gt;0,N82-L82&lt;0),-1,IF(AND(Tidstabel[[#This Row],[Emission_Netto]]-Tidstabel[[#This Row],[Vedligehold_EksisterendeFacade]]&lt;0,N82-L82&gt;0),1,0))),BlankTegn)</f>
        <v>.</v>
      </c>
      <c r="Q81" s="174" t="str">
        <f>IF(Tidstabel[[#This Row],[År]]&gt;Input_Tidshorisont,BlankTegn,
IF(Tidstabel[[#This Row],[LCA-Skæring]]=-1,SUM(Tidstabel[[#This Row],[År]]*(1-ABS(Tidstabel[[#This Row],[LCA-Difference]])/(ABS(Tidstabel[[#This Row],[LCA-Difference]])+ABS(O82))),A82*(1-ABS(O82)/(ABS(Tidstabel[[#This Row],[LCA-Difference]])+ABS(O82)))),"-"))</f>
        <v>.</v>
      </c>
      <c r="R81" s="174" t="str">
        <f>IF(Tidstabel[[#This Row],[År]]&gt;Input_Tidshorisont,BlankTegn,
IF(Tidstabel[[#This Row],[LCA-Skæring]]=-1,SUM(Tidstabel[[#This Row],[Emission_Netto]]*(1-ABS(Tidstabel[[#This Row],[LCA-Difference]])/(ABS(Tidstabel[[#This Row],[LCA-Difference]])+ABS(O82))),N82*(1-ABS(O82)/(ABS(Tidstabel[[#This Row],[LCA-Difference]])+ABS(O82)))),"-"))</f>
        <v>.</v>
      </c>
      <c r="S81" s="174" t="str">
        <f>IF(Tidstabel[[#This Row],[År]]&gt;Input_Tidshorisont,BlankTegn,
IF(Tidstabel[[#This Row],[LCA-Skæring]]=1,SUM(Tidstabel[[#This Row],[År]]*(1-ABS(Tidstabel[[#This Row],[LCA-Difference]])/(ABS(Tidstabel[[#This Row],[LCA-Difference]])+ABS(O82))),A82*(1-ABS(O82)/(ABS(Tidstabel[[#This Row],[LCA-Difference]])+ABS(O82)))),"-"))</f>
        <v>.</v>
      </c>
      <c r="T81" s="264" t="str">
        <f>IF(Tidstabel[[#This Row],[År]]&gt;Input_Tidshorisont,BlankTegn,
IF(Tidstabel[[#This Row],[LCA-Skæring]]=1,SUM(Tidstabel[[#This Row],[Emission_Netto]]*(1-ABS(Tidstabel[[#This Row],[LCA-Difference]])/(ABS(Tidstabel[[#This Row],[LCA-Difference]])+ABS(O82))),N82*(1-ABS(O82)/(ABS(Tidstabel[[#This Row],[LCA-Difference]])+ABS(O82)))),"-"))</f>
        <v>.</v>
      </c>
      <c r="U81" s="142" t="str">
        <f>IFERROR(IF(Tidstabel[[#This Row],[År]]&gt;Input_Tidshorisont,BlankTegn,
Tidstabel[[#This Row],[NPV_Klimafacade]]-Tidstabel[[#This Row],[NPV_Eksisterende]]),BlankTegn)</f>
        <v>.</v>
      </c>
      <c r="V81" s="271" t="str">
        <f>IFERROR(IF(Tidstabel[[#This Row],[År]]&gt;Input_Tidshorisont,BlankTegn,
IF(AND(Tidstabel[[#This Row],[NPV_Klimafacade]]-Tidstabel[[#This Row],[NPV_Eksisterende]]&gt;0,AB82-AA82&lt;0),1,IF(AND(Tidstabel[[#This Row],[NPV_Klimafacade]]-Tidstabel[[#This Row],[NPV_Eksisterende]]&lt;0,AB82-AA82&gt;0),-1,0))),BlankTegn)</f>
        <v>.</v>
      </c>
      <c r="W81" s="174" t="str">
        <f>IF(Tidstabel[[#This Row],[År]]&gt;Input_Tidshorisont,BlankTegn,
IF(Tidstabel[[#This Row],[LCC-Skæring]]=-1,SUM(Tidstabel[[#This Row],[År]]*(1-ABS(Tidstabel[[#This Row],[LCC-Difference]])/(ABS(Tidstabel[[#This Row],[LCC-Difference]])+ABS(U82))),A82*(1-ABS(U82)/(ABS(Tidstabel[[#This Row],[LCC-Difference]])+ABS(U82)))),"-"))</f>
        <v>.</v>
      </c>
      <c r="X81" s="174" t="str">
        <f>IF(Tidstabel[[#This Row],[År]]&gt;Input_Tidshorisont,BlankTegn,
IF(Tidstabel[[#This Row],[LCC-Skæring]]=-1,SUM(Tidstabel[[#This Row],[NPV_Klimafacade]]*(1-ABS(Tidstabel[[#This Row],[LCC-Difference]])/(ABS(Tidstabel[[#This Row],[LCC-Difference]])+ABS(U82))),AB82*(1-ABS(U82)/(ABS(Tidstabel[[#This Row],[LCC-Difference]])+ABS(U82)))),"-"))</f>
        <v>.</v>
      </c>
      <c r="Y81" s="174" t="str">
        <f>IF(Tidstabel[[#This Row],[År]]&gt;Input_Tidshorisont,BlankTegn,
IF(Tidstabel[[#This Row],[LCC-Skæring]]=1,SUM(Tidstabel[[#This Row],[År]]*(1-ABS(Tidstabel[[#This Row],[LCC-Difference]])/(ABS(Tidstabel[[#This Row],[LCC-Difference]])+ABS(U82))),A82*(1-ABS(U82)/(ABS(Tidstabel[[#This Row],[LCC-Difference]])+ABS(U82)))),"-"))</f>
        <v>.</v>
      </c>
      <c r="Z81" s="264" t="str">
        <f>IF(Tidstabel[[#This Row],[År]]&gt;Input_Tidshorisont,BlankTegn,
IF(Tidstabel[[#This Row],[LCC-Skæring]]=1,SUM(Tidstabel[[#This Row],[NPV_Klimafacade]]*(1-ABS(Tidstabel[[#This Row],[LCC-Difference]])/(ABS(Tidstabel[[#This Row],[LCC-Difference]])+ABS(U82))),AB82*(1-ABS(U82)/(ABS(Tidstabel[[#This Row],[LCC-Difference]])+ABS(U82)))),"-"))</f>
        <v>.</v>
      </c>
      <c r="AA81" s="142" t="str">
        <f>IF(Tidstabel[[#This Row],[År]]&gt;Input_Tidshorisont,BlankTegn,
Tidstabel[[#This Row],[EF_Vedligehold_Aggregeret]])</f>
        <v>.</v>
      </c>
      <c r="AB81"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81" s="142" t="str">
        <f>IFERROR(IF(Tidstabel[[#This Row],[År]]&gt;Input_Tidshorisont,BlankTegn,
Tidstabel[[#This Row],[KF_Anskaffelse_Aggregeret]]+Tidstabel[[#This Row],[KF_Engangsudgifter_Aggregeret]]),BlankTegn)</f>
        <v>.</v>
      </c>
      <c r="AD81" s="174" t="str">
        <f>IFERROR(IF(Tidstabel[[#This Row],[År]]&gt;Input_Tidshorisont,BlankTegn,
IF(Tidstabel[[#This Row],[År]]=0,0,Tidstabel[[#This Row],[NPV_Eksisterende]]*(Tidstabel[[#This Row],[Kalkulationsrente]]/(1-(1+Tidstabel[[#This Row],[Kalkulationsrente]])^-Tidstabel[[#This Row],[År]])))),BlankTegn)</f>
        <v>.</v>
      </c>
      <c r="AE81" s="264" t="str">
        <f>IFERROR(IF(Tidstabel[[#This Row],[År]]&gt;Input_Tidshorisont,BlankTegn,
IF(Tidstabel[[#This Row],[År]]=0,0,Tidstabel[[#This Row],[NPV_Klimafacade]]*(Tidstabel[[#This Row],[Kalkulationsrente]]/(1-(1+Tidstabel[[#This Row],[Kalkulationsrente]])^-Tidstabel[[#This Row],[År]])))),BlankTegn)</f>
        <v>.</v>
      </c>
      <c r="AF81" s="270" t="str">
        <f ca="1">IF(Tidstabel[[#This Row],[År]]&gt;Input_Tidshorisont,BlankTegn,
IF(EF_Vedligehold_i=1,IF(Tidstabel[[#This Row],[EF_Uds?]]=0,1,0),IF(MAX(AF80:OFFSET(AG80,2-EF_Vedligehold_i,0),Tidstabel[[#This Row],[EF_Uds?]])=0,1,0)))</f>
        <v>.</v>
      </c>
      <c r="AG81" s="181" t="str">
        <f>IF(Tidstabel[[#This Row],[År]]&gt;Input_Tidshorisont,BlankTegn,0)</f>
        <v>.</v>
      </c>
      <c r="AH81" s="263" t="str">
        <f>IF(Tidstabel[[#This Row],[År]]&gt;Input_Tidshorisont,BlankTegn,
Tidstabel[[#This Row],[EF_Ved?]]*EF_Vedligehold_p*-EF_Enhedspris*((1+Tidstabel[[#This Row],[Kalkulationsrente]])^-Tidstabel[[#This Row],[År]])*((1+PrisudviklingGenerelt)^Tidstabel[[#This Row],[År]]))</f>
        <v>.</v>
      </c>
      <c r="AI81" s="262" t="str">
        <f>IF(Tidstabel[[#This Row],[År]]&gt;Input_Tidshorisont,BlankTegn,
IF(Tidstabel[[#This Row],[År]]=0,Tidstabel[[#This Row],[EF_Vedligehold]],AI80+Tidstabel[[#This Row],[EF_Vedligehold]]))</f>
        <v>.</v>
      </c>
      <c r="AJ81" s="245" t="str">
        <f>IFERROR(IF(Tidstabel[[#This Row],[År]]&gt;Input_Tidshorisont,BlankTegn,
Tidstabel[[#This Row],[FB_Anskaffelse]]+Tidstabel[[#This Row],[VS_Anskaffelse]]+Tidstabel[[#This Row],[EI_Anskaffelse]]+Tidstabel[[#This Row],[AP_Anskaffelse]]+Tidstabel[[#This Row],[SK_Anskaffelse]]),BlankTegn)</f>
        <v>.</v>
      </c>
      <c r="AK81" s="245" t="str">
        <f>IFERROR(IF(Tidstabel[[#This Row],[År]]&gt;Input_Tidshorisont,BlankTegn,
IF(Tidstabel[[#This Row],[År]]=0,Tidstabel[[#This Row],[KF_Anskaffelse]],AK80+Tidstabel[[#This Row],[KF_Anskaffelse]])),BlankTegn)</f>
        <v>.</v>
      </c>
      <c r="AL81" s="246" t="str">
        <f>IFERROR(IF(Tidstabel[[#This Row],[År]]&gt;Input_Tidshorisont,BlankTegn,
Tidstabel[[#This Row],[FB_Vedligehold]]+Tidstabel[[#This Row],[VS_Vedligehold]]+Tidstabel[[#This Row],[EI_Vedligehold]]+Tidstabel[[#This Row],[AP_Vedligehold]]+Tidstabel[[#This Row],[SK_Vedligehold]]),BlankTegn)</f>
        <v>.</v>
      </c>
      <c r="AM81" s="245" t="str">
        <f>IFERROR(IF(Tidstabel[[#This Row],[År]]&gt;Input_Tidshorisont,BlankTegn,
IF(Tidstabel[[#This Row],[År]]=0,Tidstabel[[#This Row],[KF_Vedligehold]],AM80+Tidstabel[[#This Row],[KF_Vedligehold]])),BlankTegn)</f>
        <v>.</v>
      </c>
      <c r="AN81"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81"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81" s="245" t="str">
        <f>IFERROR(IF(Tidstabel[[#This Row],[År]]&gt;Input_Tidshorisont,BlankTegn,
IF(Tidstabel[[#This Row],[År]]=0,Tidstabel[[#This Row],[KF_Udskiftning_Komponent]],AP80+Tidstabel[[#This Row],[KF_Udskiftning_Komponent]])),BlankTegn)</f>
        <v>.</v>
      </c>
      <c r="AQ81" s="245" t="str">
        <f>IF(Tidstabel[[#This Row],[År]]&gt;Input_Tidshorisont,BlankTegn,
IF(Tidstabel[[#This Row],[År]]=0,-SUM(Engangsudgifter[Udgift]),0))</f>
        <v>.</v>
      </c>
      <c r="AR81" s="245" t="str">
        <f>IFERROR(IF(Tidstabel[[#This Row],[År]]&gt;Input_Tidshorisont,BlankTegn,
IF(Tidstabel[[#This Row],[År]]=0,Tidstabel[[#This Row],[KF_Engangsudgifter]],AR80+Tidstabel[[#This Row],[KF_Engangsudgifter]])),BlankTegn)</f>
        <v>.</v>
      </c>
      <c r="AS81" s="315" t="str">
        <f>IFERROR(IF(Tidstabel[[#This Row],[År]]&gt;Input_Tidshorisont,BlankTegn,
-Energibesparelse_Årlig),BlankTegn)</f>
        <v>.</v>
      </c>
      <c r="AT81" s="245" t="str">
        <f>IFERROR(IF(Tidstabel[[#This Row],[År]]&gt;Input_Tidshorisont,BlankTegn,
IF(Tidstabel[[#This Row],[År]]=0,0,-Tidstabel[[#This Row],[KF_Energiforbrug]]*Input_Fjernvarmepris*((1+Tidstabel[[#This Row],[Kalkulationsrente]])^-Tidstabel[[#This Row],[År]])*((1+PrisudviklingFjernvarme)^Tidstabel[[#This Row],[År]]))),BlankTegn)</f>
        <v>.</v>
      </c>
      <c r="AU81" s="262" t="str">
        <f>IFERROR(IF(Tidstabel[[#This Row],[År]]&gt;Input_Tidshorisont,BlankTegn,
IF(Tidstabel[[#This Row],[År]]=0,Tidstabel[[#This Row],[KF_Forsyning]],AU80+Tidstabel[[#This Row],[KF_Forsyning]])),BlankTegn)</f>
        <v>.</v>
      </c>
      <c r="AV81" s="245" t="str">
        <f>IFERROR(IF(Tidstabel[[#This Row],[År]]&gt;Input_Tidshorisont,BlankTegn,
IF(Tidstabel[[#This Row],[År]]=0,-FB_Enhedspris,0)),BlankTegn)</f>
        <v>.</v>
      </c>
      <c r="AW81" s="245" t="str">
        <f>IFERROR(IF(Tidstabel[[#This Row],[År]]&gt;Input_Tidshorisont,BlankTegn,
IF(Tidstabel[[#This Row],[År]]=0,FB_Enhedspris/FB_Levetid,AW80*((1+Tidstabel[[#This Row],[Kalkulationsrente]])^-1)*((1+PrisudviklingGenerelt)^1))),BlankTegn)</f>
        <v>.</v>
      </c>
      <c r="AX81" s="178" t="str">
        <f ca="1">IFERROR(IF(Tidstabel[[#This Row],[År]]&gt;Input_Tidshorisont,BlankTegn,
IF(FB_Vedligehold_i=1,IF(Tidstabel[[#This Row],[FB_Uds?]]=0,1,0),IF(MAX(AX80:OFFSET(AY80,2-FB_Vedligehold_i,0),Tidstabel[[#This Row],[FB_Uds?]])=0,1,0))),BlankTegn)</f>
        <v>.</v>
      </c>
      <c r="AY81" s="178" t="str">
        <f>IFERROR(IF(Tidstabel[[#This Row],[År]]&gt;Input_Tidshorisont,BlankTegn,
IF(Tidstabel[[#This Row],[År]]=0,1,IF(MOD(Tidstabel[[#This Row],[År]],FB_Levetid)=0,1,IF(Tidstabel[[#This Row],[År]]=Input_Tidshorisont,0,0)))),BlankTegn)</f>
        <v>.</v>
      </c>
      <c r="AZ81" s="245" t="str">
        <f>IFERROR(IF(Tidstabel[[#This Row],[År]]&gt;Input_Tidshorisont,BlankTegn,
FB_Vedligehold_p*-FB_Enhedspris*Tidstabel[[#This Row],[FB_Ved?]]*((1+Tidstabel[[#This Row],[Kalkulationsrente]])^-Tidstabel[[#This Row],[År]])*((1+PrisudviklingGenerelt)^Tidstabel[[#This Row],[År]])),BlankTegn)</f>
        <v>.</v>
      </c>
      <c r="BA81" s="245" t="str">
        <f>IFERROR(IF(Tidstabel[[#This Row],[År]]&gt;Input_Tidshorisont,BlankTegn,
IF(Tidstabel[[#This Row],[År]]=0,FB_Enhedspris,SUM(BA80:BB80)*((1+Tidstabel[[#This Row],[Kalkulationsrente]])^-1)*((1+PrisudviklingGenerelt)^1)-Tidstabel[[#This Row],[FB_Afskrivning]])),BlankTegn)</f>
        <v>.</v>
      </c>
      <c r="BB81" s="245" t="str">
        <f>IFERROR(IF(Tidstabel[[#This Row],[År]]&gt;Input_Tidshorisont,BlankTegn,
IF(Tidstabel[[#This Row],[År]]=0,0,Tidstabel[[#This Row],[FB_Uds?]]*FB_Enhedspris*((1+Tidstabel[[#This Row],[Kalkulationsrente]])^-Tidstabel[[#This Row],[År]])*((1+PrisudviklingGenerelt)^Tidstabel[[#This Row],[År]]))),BlankTegn)</f>
        <v>.</v>
      </c>
      <c r="BC81" s="262" t="str">
        <f>IFERROR(IF(Tidstabel[[#This Row],[År]]&gt;Input_Tidshorisont,BlankTegn,
IF(Tidstabel[[#This Row],[År]]=0,0,Tidstabel[[#This Row],[FB_Uds?]]*-FB_Enhedspris*FB_Genoprettelse*((1+Tidstabel[[#This Row],[Kalkulationsrente]])^-Tidstabel[[#This Row],[År]])*((1+PrisudviklingGenerelt)^Tidstabel[[#This Row],[År]]))),BlankTegn)</f>
        <v>.</v>
      </c>
      <c r="BD81" s="245" t="str">
        <f>IFERROR(IF(Tidstabel[[#This Row],[År]]&gt;Input_Tidshorisont,BlankTegn,
IF(Tidstabel[[#This Row],[År]]=0,-VS_Enhedspris,0)),BlankTegn)</f>
        <v>.</v>
      </c>
      <c r="BE81" s="245" t="str">
        <f>IFERROR(IF(Tidstabel[[#This Row],[År]]&gt;Input_Tidshorisont,BlankTegn,
IF(Tidstabel[[#This Row],[År]]=0,VS_Enhedspris/VS_Levetid,BE80*((1+Tidstabel[[#This Row],[Kalkulationsrente]])^-1)*((1+PrisudviklingGenerelt)^1))),BlankTegn)</f>
        <v>.</v>
      </c>
      <c r="BF81" s="178" t="str">
        <f ca="1">IFERROR(IF(Tidstabel[[#This Row],[År]]&gt;Input_Tidshorisont,BlankTegn,
IF(VS_Vedligehold_i=1,IF(Tidstabel[[#This Row],[VS_Uds?]]=0,1,0),IF(MAX(BF80:OFFSET(BG80,2-VS_Vedligehold_i,0),Tidstabel[[#This Row],[VS_Uds?]])=0,1,0))),BlankTegn)</f>
        <v>.</v>
      </c>
      <c r="BG81" s="178" t="str">
        <f>IFERROR(IF(Tidstabel[[#This Row],[År]]&gt;Input_Tidshorisont,BlankTegn,
IF(Tidstabel[[#This Row],[År]]=0,1,IF(MOD(Tidstabel[[#This Row],[År]],VS_Levetid)=0,1,IF(Tidstabel[[#This Row],[År]]=Input_Tidshorisont,0,0)))),BlankTegn)</f>
        <v>.</v>
      </c>
      <c r="BH81" s="245" t="str">
        <f>IFERROR(IF(Tidstabel[[#This Row],[År]]&gt;Input_Tidshorisont,BlankTegn,
VS_Vedligehold_p*-VS_Enhedspris*Tidstabel[[#This Row],[VS_Ved?]]*((1+Tidstabel[[#This Row],[Kalkulationsrente]])^-Tidstabel[[#This Row],[År]])*((1+PrisudviklingGenerelt)^Tidstabel[[#This Row],[År]])),BlankTegn)</f>
        <v>.</v>
      </c>
      <c r="BI81" s="245" t="str">
        <f>IFERROR(IF(Tidstabel[[#This Row],[År]]&gt;Input_Tidshorisont,BlankTegn,
IF(Tidstabel[[#This Row],[År]]=0,VS_Enhedspris,SUM(BI80:BJ80)*((1+Tidstabel[[#This Row],[Kalkulationsrente]])^-1)*((1+PrisudviklingGenerelt)^1)-Tidstabel[[#This Row],[VS_Afskrivning]])),BlankTegn)</f>
        <v>.</v>
      </c>
      <c r="BJ81" s="245" t="str">
        <f>IFERROR(IF(Tidstabel[[#This Row],[År]]&gt;Input_Tidshorisont,BlankTegn,
IF(Tidstabel[[#This Row],[År]]=0,0,Tidstabel[[#This Row],[VS_Uds?]]*VS_Enhedspris*((1+Tidstabel[[#This Row],[Kalkulationsrente]])^-Tidstabel[[#This Row],[År]])*((1+PrisudviklingGenerelt)^Tidstabel[[#This Row],[År]]))),BlankTegn)</f>
        <v>.</v>
      </c>
      <c r="BK81" s="262" t="str">
        <f>IFERROR(IF(Tidstabel[[#This Row],[År]]&gt;Input_Tidshorisont,BlankTegn,
IF(Tidstabel[[#This Row],[År]]=0,0,Tidstabel[[#This Row],[VS_Uds?]]*-VS_Enhedspris*VS_Genoprettelse*((1+Tidstabel[[#This Row],[Kalkulationsrente]])^-Tidstabel[[#This Row],[År]])*((1+PrisudviklingGenerelt)^Tidstabel[[#This Row],[År]]))),BlankTegn)</f>
        <v>.</v>
      </c>
      <c r="BL81" s="245" t="str">
        <f>IFERROR(IF(Tidstabel[[#This Row],[År]]&gt;Input_Tidshorisont,BlankTegn,
IF(Tidstabel[[#This Row],[År]]=0,-EI_Enhedspris,0)),BlankTegn)</f>
        <v>.</v>
      </c>
      <c r="BM81" s="245" t="str">
        <f>IFERROR(IF(Tidstabel[[#This Row],[År]]&gt;Input_Tidshorisont,BlankTegn,
IF(Tidstabel[[#This Row],[År]]=0,EI_Enhedspris/EI_Levetid,BM80*((1+Tidstabel[[#This Row],[Kalkulationsrente]])^-1)*((1+PrisudviklingGenerelt)^1))),BlankTegn)</f>
        <v>.</v>
      </c>
      <c r="BN81" s="178" t="str">
        <f ca="1">IFERROR(IF(Tidstabel[[#This Row],[År]]&gt;Input_Tidshorisont,BlankTegn,
IF(EI_Vedligehold_i=1,IF(Tidstabel[[#This Row],[EI_Uds?]]=0,1,0),IF(MAX(BN80:OFFSET(BO80,2-EI_Vedligehold_i,0),Tidstabel[[#This Row],[EI_Uds?]])=0,1,0))),BlankTegn)</f>
        <v>.</v>
      </c>
      <c r="BO81" s="178" t="str">
        <f>IFERROR(IF(Tidstabel[[#This Row],[År]]&gt;Input_Tidshorisont,BlankTegn,
IF(Tidstabel[[#This Row],[År]]=0,1,IF(MOD(Tidstabel[[#This Row],[År]],EI_Levetid)=0,1,IF(Tidstabel[[#This Row],[År]]=Input_Tidshorisont,0,0)))),BlankTegn)</f>
        <v>.</v>
      </c>
      <c r="BP81" s="245" t="str">
        <f>IFERROR(IF(Tidstabel[[#This Row],[År]]&gt;Input_Tidshorisont,BlankTegn,
EI_Vedligehold_p*-EI_Enhedspris*Tidstabel[[#This Row],[EI_Ved?]]*((1+Tidstabel[[#This Row],[Kalkulationsrente]])^-Tidstabel[[#This Row],[År]])*((1+PrisudviklingGenerelt)^Tidstabel[[#This Row],[År]])),BlankTegn)</f>
        <v>.</v>
      </c>
      <c r="BQ81" s="245" t="str">
        <f>IFERROR(IF(Tidstabel[[#This Row],[År]]&gt;Input_Tidshorisont,BlankTegn,
IF(Tidstabel[[#This Row],[År]]=0,EI_Enhedspris,SUM(BQ80:BR80)*((1+Tidstabel[[#This Row],[Kalkulationsrente]])^-1)*((1+PrisudviklingGenerelt)^1)-Tidstabel[[#This Row],[EI_Afskrivning]])),BlankTegn)</f>
        <v>.</v>
      </c>
      <c r="BR81" s="245" t="str">
        <f>IFERROR(IF(Tidstabel[[#This Row],[År]]&gt;Input_Tidshorisont,BlankTegn,
IF(Tidstabel[[#This Row],[År]]=0,0,Tidstabel[[#This Row],[EI_Uds?]]*EI_Enhedspris*((1+Tidstabel[[#This Row],[Kalkulationsrente]])^-Tidstabel[[#This Row],[År]])*((1+PrisudviklingGenerelt)^Tidstabel[[#This Row],[År]]))),BlankTegn)</f>
        <v>.</v>
      </c>
      <c r="BS81" s="262" t="str">
        <f>IFERROR(IF(Tidstabel[[#This Row],[År]]&gt;Input_Tidshorisont,BlankTegn,
IF(Tidstabel[[#This Row],[År]]=0,0,Tidstabel[[#This Row],[EI_Uds?]]*-EI_Enhedspris*EI_Genoprettelse*((1+Tidstabel[[#This Row],[Kalkulationsrente]])^-Tidstabel[[#This Row],[År]])*((1+PrisudviklingGenerelt)^Tidstabel[[#This Row],[År]]))),BlankTegn)</f>
        <v>.</v>
      </c>
      <c r="BT81" s="245" t="str">
        <f>IFERROR(IF(Tidstabel[[#This Row],[År]]&gt;Input_Tidshorisont,BlankTegn,
IF(Tidstabel[[#This Row],[År]]=0,-AP_Enhedspris,0)),BlankTegn)</f>
        <v>.</v>
      </c>
      <c r="BU81" s="245" t="str">
        <f>IFERROR(IF(Tidstabel[[#This Row],[År]]&gt;Input_Tidshorisont,BlankTegn,
IF(Tidstabel[[#This Row],[År]]=0,AP_Enhedspris/AP_Levetid,BU80*((1+Tidstabel[[#This Row],[Kalkulationsrente]])^-1)*((1+PrisudviklingGenerelt)^1))),BlankTegn)</f>
        <v>.</v>
      </c>
      <c r="BV81" s="178" t="str">
        <f ca="1">IFERROR(IF(Tidstabel[[#This Row],[År]]&gt;Input_Tidshorisont,BlankTegn,
IF(AP_Vedligehold_i=1,IF(Tidstabel[[#This Row],[AP_Uds?]]=0,1,0),IF(MAX(BV80:OFFSET(BW80,2-AP_Vedligehold_i,0),Tidstabel[[#This Row],[AP_Uds?]])=0,1,0))),BlankTegn)</f>
        <v>.</v>
      </c>
      <c r="BW81" s="178" t="str">
        <f>IFERROR(IF(Tidstabel[[#This Row],[År]]&gt;Input_Tidshorisont,BlankTegn,
IF(Tidstabel[[#This Row],[År]]=0,1,IF(MOD(Tidstabel[[#This Row],[År]],AP_Levetid)=0,1,IF(Tidstabel[[#This Row],[År]]=Input_Tidshorisont,0,0)))),BlankTegn)</f>
        <v>.</v>
      </c>
      <c r="BX81" s="245" t="str">
        <f>IFERROR(IF(Tidstabel[[#This Row],[År]]&gt;Input_Tidshorisont,BlankTegn,
AP_Vedligehold_p*-AP_Enhedspris*Tidstabel[[#This Row],[AP_Ved?]]*((1+Tidstabel[[#This Row],[Kalkulationsrente]])^-Tidstabel[[#This Row],[År]])*((1+PrisudviklingGenerelt)^Tidstabel[[#This Row],[År]])),BlankTegn)</f>
        <v>.</v>
      </c>
      <c r="BY81" s="245" t="str">
        <f>IFERROR(IF(Tidstabel[[#This Row],[År]]&gt;Input_Tidshorisont,BlankTegn,
IF(Tidstabel[[#This Row],[År]]=0,AP_Enhedspris,SUM(BY80:BZ80)*((1+Tidstabel[[#This Row],[Kalkulationsrente]])^-1)*((1+PrisudviklingGenerelt)^1)-Tidstabel[[#This Row],[AP_Afskrivning]])),BlankTegn)</f>
        <v>.</v>
      </c>
      <c r="BZ81" s="245" t="str">
        <f>IFERROR(IF(Tidstabel[[#This Row],[År]]&gt;Input_Tidshorisont,BlankTegn,
IF(Tidstabel[[#This Row],[År]]=0,0,Tidstabel[[#This Row],[AP_Uds?]]*AP_Enhedspris*((1+Tidstabel[[#This Row],[Kalkulationsrente]])^-Tidstabel[[#This Row],[År]])*((1+PrisudviklingGenerelt)^Tidstabel[[#This Row],[År]]))),BlankTegn)</f>
        <v>.</v>
      </c>
      <c r="CA81" s="262" t="str">
        <f>IFERROR(IF(Tidstabel[[#This Row],[År]]&gt;Input_Tidshorisont,BlankTegn,
IF(Tidstabel[[#This Row],[År]]=0,0,Tidstabel[[#This Row],[AP_Uds?]]*-AP_Enhedspris*AP_Genoprettelse*((1+Tidstabel[[#This Row],[Kalkulationsrente]])^-Tidstabel[[#This Row],[År]])*((1+PrisudviklingGenerelt)^Tidstabel[[#This Row],[År]]))),BlankTegn)</f>
        <v>.</v>
      </c>
      <c r="CB81" s="245" t="str">
        <f>IFERROR(IF(Tidstabel[[#This Row],[År]]&gt;Input_Tidshorisont,BlankTegn,
IF(Tidstabel[[#This Row],[År]]=0,-SK_Enhedspris,0)),BlankTegn)</f>
        <v>.</v>
      </c>
      <c r="CC81" s="245" t="str">
        <f>IFERROR(IF(Tidstabel[[#This Row],[År]]&gt;Input_Tidshorisont,BlankTegn,
IF(Tidstabel[[#This Row],[År]]=0,SK_Enhedspris/SK_Levetid,CC80*((1+Tidstabel[[#This Row],[Kalkulationsrente]])^-1)*((1+PrisudviklingGenerelt)^1))),BlankTegn)</f>
        <v>.</v>
      </c>
      <c r="CD81" s="178" t="str">
        <f ca="1">IFERROR(IF(Tidstabel[[#This Row],[År]]&gt;Input_Tidshorisont,BlankTegn,
IF(SK_Vedligehold_i=1,IF(Tidstabel[[#This Row],[SK_Uds?]]=0,1,0),IF(MAX(CD80:OFFSET(CE80,2-SK_Vedligehold_i,0),Tidstabel[[#This Row],[SK_Uds?]])=0,1,0))),BlankTegn)</f>
        <v>.</v>
      </c>
      <c r="CE81" s="178" t="str">
        <f>IFERROR(IF(Tidstabel[[#This Row],[År]]&gt;Input_Tidshorisont,BlankTegn,
IF(Tidstabel[[#This Row],[År]]=0,1,IF(MOD(Tidstabel[[#This Row],[År]],SK_Levetid)=0,1,IF(Tidstabel[[#This Row],[År]]=Input_Tidshorisont,0,0)))),BlankTegn)</f>
        <v>.</v>
      </c>
      <c r="CF81" s="245" t="str">
        <f>IFERROR(IF(Tidstabel[[#This Row],[År]]&gt;Input_Tidshorisont,BlankTegn,
SK_Vedligehold_p*-SK_Enhedspris*Tidstabel[[#This Row],[SK_Ved?]]*((1+Tidstabel[[#This Row],[Kalkulationsrente]])^-Tidstabel[[#This Row],[År]])*((1+PrisudviklingGenerelt)^Tidstabel[[#This Row],[År]])),BlankTegn)</f>
        <v>.</v>
      </c>
      <c r="CG81" s="245" t="str">
        <f>IFERROR(IF(Tidstabel[[#This Row],[År]]&gt;Input_Tidshorisont,BlankTegn,
IF(Tidstabel[[#This Row],[År]]=0,SK_Enhedspris,SUM(CG80:CH80)*((1+Tidstabel[[#This Row],[Kalkulationsrente]])^-1)*((1+PrisudviklingGenerelt)^1)-Tidstabel[[#This Row],[SK_Afskrivning]])),BlankTegn)</f>
        <v>.</v>
      </c>
      <c r="CH81" s="245" t="str">
        <f>IFERROR(IF(Tidstabel[[#This Row],[År]]&gt;Input_Tidshorisont,BlankTegn,
IF(Tidstabel[[#This Row],[År]]=0,0,Tidstabel[[#This Row],[SK_Uds?]]*SK_Enhedspris*((1+Tidstabel[[#This Row],[Kalkulationsrente]])^-Tidstabel[[#This Row],[År]])*((1+PrisudviklingGenerelt)^Tidstabel[[#This Row],[År]]))),BlankTegn)</f>
        <v>.</v>
      </c>
      <c r="CI81" s="262" t="str">
        <f>IFERROR(IF(Tidstabel[[#This Row],[År]]&gt;Input_Tidshorisont,BlankTegn,
IF(Tidstabel[[#This Row],[År]]=0,0,Tidstabel[[#This Row],[SK_Uds?]]*-SK_Enhedspris*SK_Genoprettelse*((1+Tidstabel[[#This Row],[Kalkulationsrente]])^-Tidstabel[[#This Row],[År]])*((1+PrisudviklingGenerelt)^Tidstabel[[#This Row],[År]]))),BlankTegn)</f>
        <v>.</v>
      </c>
      <c r="CJ81" s="19"/>
    </row>
    <row r="82" spans="1:88">
      <c r="A82" s="250">
        <v>75</v>
      </c>
      <c r="B82" s="250">
        <f>Input_Etableringsår+Tidstabel[[#This Row],[År]]</f>
        <v>2099</v>
      </c>
      <c r="C82" s="274" cm="1">
        <f t="array" ref="C82">_xlfn.IFS(Tidstabel[[#This Row],[År]]&gt;KR_Trin3_Tærskel,KR_Trin3_Rente,Tidstabel[[#This Row],[År]]&gt;KR_Trin2_Tærskel,KR_Trin2_Rente,Tidstabel[[#This Row],[År]]&gt;KR_Trin1_Tærskel,KR_Trin1_Rente,Tidstabel[[#This Row],[År]]&gt;KR_Trin0_Tærskel,KR_Trin0_Rente)</f>
        <v>1.4999999999999999E-2</v>
      </c>
      <c r="D82" s="142" t="str" cm="1">
        <f t="array" ref="D82">IFERROR(
INDEX(Range_Materiale_ÅrligeEmissioner,MATCH(1,(Materialedata[Komponent]=FB_Titel)*(Materialedata[Materiale]=FB_Materiale),0),MATCH(Tidstabel[[#This Row],[År]],Range_Materiale_År,0)),BlankTegn)</f>
        <v>.</v>
      </c>
      <c r="E82" s="142" t="str" cm="1">
        <f t="array" ref="E82">IFERROR(
INDEX(Range_Materiale_ÅrligeEmissioner,MATCH(1,(Materialedata[Komponent]=SK_Titel)*(Materialedata[Materiale]=SK_Materiale),0),MATCH(Tidstabel[[#This Row],[År]],Range_Materiale_År,0)),BlankTegn)</f>
        <v>.</v>
      </c>
      <c r="F82" s="142" t="str" cm="1">
        <f t="array" ref="F82">IFERROR(
INDEX(Range_Materiale_ÅrligeEmissioner,MATCH(1,(Materialedata[Komponent]=EI_Titel)*(Materialedata[Materiale]=EI_Materiale),0),MATCH(Tidstabel[[#This Row],[År]],Range_Materiale_År,0)),BlankTegn)</f>
        <v>.</v>
      </c>
      <c r="G82" s="142" t="str" cm="1">
        <f t="array" ref="G82">IFERROR(
INDEX(Range_Materiale_ÅrligeEmissioner,MATCH(1,(Materialedata[Komponent]=AP_Titel)*(Materialedata[Materiale]=AP_Materiale),0),MATCH(Tidstabel[[#This Row],[År]],Range_Materiale_År,0)),BlankTegn)</f>
        <v>.</v>
      </c>
      <c r="H82" s="142" t="str" cm="1">
        <f t="array" ref="H82">IFERROR(
INDEX(Range_Materiale_ÅrligeEmissioner,MATCH(1,(Materialedata[Komponent]=VS_Titel)*(Materialedata[Materiale]=VS_Materiale),0),MATCH(Tidstabel[[#This Row],[År]],Range_Materiale_År,0)),BlankTegn)</f>
        <v>.</v>
      </c>
      <c r="I82" s="142" t="str">
        <f>IFERROR(
IF(SUM(Tidstabel[[#This Row],[Facadebeklædning]:[Vindspærre]])=0,BlankTegn,
SUM(Tidstabel[[#This Row],[Facadebeklædning]:[Vindspærre]])),BlankTegn)</f>
        <v>.</v>
      </c>
      <c r="J82" s="139" t="str">
        <f>IF(Tidstabel[[#This Row],[År]]&gt;Input_Tidshorisont,BlankTegn,
A5_ElVarmeBrændstofByggeplads)</f>
        <v>.</v>
      </c>
      <c r="K82" s="142" t="str">
        <f>IFERROR(IF(Tidstabel[[#This Row],[År]]&gt;Input_Tidshorisont,BlankTegn,
-1*INDEX(Range_Energi_ÅrligBesparelse,MATCH(Input_EksisterendeFacade,Energiberegning[Ydervæg],0),MATCH(Tidstabel[[#This Row],[Årstal]],Range_Energi_Årstal,0))),BlankTegn)</f>
        <v>.</v>
      </c>
      <c r="L82" s="142" t="str">
        <f>IF(Tidstabel[[#This Row],[År]]&gt;Input_Tidshorisont,BlankTegn,
(Tidstabel[[#This Row],[År]]+1)*(SUM(Vedligeholdelsesmaterialer[Facadefarve],Vedligeholdelsesmaterialer[Grunder og mellemmaling])/12+SUM(Vedligeholdelsesmaterialer[Puds])/30))</f>
        <v>.</v>
      </c>
      <c r="M82" s="142" t="str">
        <f>IFERROR(IF(Tidstabel[[#This Row],[År]]&gt;Input_Tidshorisont,BlankTegn,
Tidstabel[[#This Row],[Materialer_Total]]+Tidstabel[[#This Row],[Byggeprocess]]),BlankTegn)</f>
        <v>.</v>
      </c>
      <c r="N82" s="142" t="str">
        <f>IFERROR(IF(Tidstabel[[#This Row],[År]]&gt;Input_Tidshorisont,BlankTegn,
Tidstabel[[#This Row],[Energibesparelse]]+Tidstabel[[#This Row],[Emission_Brutto]]),BlankTegn)</f>
        <v>.</v>
      </c>
      <c r="O82" s="142" t="str">
        <f>IFERROR(IF(Tidstabel[[#This Row],[År]]&gt;Input_Tidshorisont,BlankTegn,
Tidstabel[[#This Row],[Emission_Netto]]-Tidstabel[[#This Row],[Vedligehold_EksisterendeFacade]]),BlankTegn)</f>
        <v>.</v>
      </c>
      <c r="P82" s="271" t="str">
        <f>IFERROR(IF(Tidstabel[[#This Row],[År]]&gt;Input_Tidshorisont,BlankTegn,
IF(AND(Tidstabel[[#This Row],[Emission_Netto]]-Tidstabel[[#This Row],[Vedligehold_EksisterendeFacade]]&gt;0,N83-L83&lt;0),-1,IF(AND(Tidstabel[[#This Row],[Emission_Netto]]-Tidstabel[[#This Row],[Vedligehold_EksisterendeFacade]]&lt;0,N83-L83&gt;0),1,0))),BlankTegn)</f>
        <v>.</v>
      </c>
      <c r="Q82" s="174" t="str">
        <f>IF(Tidstabel[[#This Row],[År]]&gt;Input_Tidshorisont,BlankTegn,
IF(Tidstabel[[#This Row],[LCA-Skæring]]=-1,SUM(Tidstabel[[#This Row],[År]]*(1-ABS(Tidstabel[[#This Row],[LCA-Difference]])/(ABS(Tidstabel[[#This Row],[LCA-Difference]])+ABS(O83))),A83*(1-ABS(O83)/(ABS(Tidstabel[[#This Row],[LCA-Difference]])+ABS(O83)))),"-"))</f>
        <v>.</v>
      </c>
      <c r="R82" s="174" t="str">
        <f>IF(Tidstabel[[#This Row],[År]]&gt;Input_Tidshorisont,BlankTegn,
IF(Tidstabel[[#This Row],[LCA-Skæring]]=-1,SUM(Tidstabel[[#This Row],[Emission_Netto]]*(1-ABS(Tidstabel[[#This Row],[LCA-Difference]])/(ABS(Tidstabel[[#This Row],[LCA-Difference]])+ABS(O83))),N83*(1-ABS(O83)/(ABS(Tidstabel[[#This Row],[LCA-Difference]])+ABS(O83)))),"-"))</f>
        <v>.</v>
      </c>
      <c r="S82" s="174" t="str">
        <f>IF(Tidstabel[[#This Row],[År]]&gt;Input_Tidshorisont,BlankTegn,
IF(Tidstabel[[#This Row],[LCA-Skæring]]=1,SUM(Tidstabel[[#This Row],[År]]*(1-ABS(Tidstabel[[#This Row],[LCA-Difference]])/(ABS(Tidstabel[[#This Row],[LCA-Difference]])+ABS(O83))),A83*(1-ABS(O83)/(ABS(Tidstabel[[#This Row],[LCA-Difference]])+ABS(O83)))),"-"))</f>
        <v>.</v>
      </c>
      <c r="T82" s="264" t="str">
        <f>IF(Tidstabel[[#This Row],[År]]&gt;Input_Tidshorisont,BlankTegn,
IF(Tidstabel[[#This Row],[LCA-Skæring]]=1,SUM(Tidstabel[[#This Row],[Emission_Netto]]*(1-ABS(Tidstabel[[#This Row],[LCA-Difference]])/(ABS(Tidstabel[[#This Row],[LCA-Difference]])+ABS(O83))),N83*(1-ABS(O83)/(ABS(Tidstabel[[#This Row],[LCA-Difference]])+ABS(O83)))),"-"))</f>
        <v>.</v>
      </c>
      <c r="U82" s="142" t="str">
        <f>IFERROR(IF(Tidstabel[[#This Row],[År]]&gt;Input_Tidshorisont,BlankTegn,
Tidstabel[[#This Row],[NPV_Klimafacade]]-Tidstabel[[#This Row],[NPV_Eksisterende]]),BlankTegn)</f>
        <v>.</v>
      </c>
      <c r="V82" s="271" t="str">
        <f>IFERROR(IF(Tidstabel[[#This Row],[År]]&gt;Input_Tidshorisont,BlankTegn,
IF(AND(Tidstabel[[#This Row],[NPV_Klimafacade]]-Tidstabel[[#This Row],[NPV_Eksisterende]]&gt;0,AB83-AA83&lt;0),1,IF(AND(Tidstabel[[#This Row],[NPV_Klimafacade]]-Tidstabel[[#This Row],[NPV_Eksisterende]]&lt;0,AB83-AA83&gt;0),-1,0))),BlankTegn)</f>
        <v>.</v>
      </c>
      <c r="W82" s="174" t="str">
        <f>IF(Tidstabel[[#This Row],[År]]&gt;Input_Tidshorisont,BlankTegn,
IF(Tidstabel[[#This Row],[LCC-Skæring]]=-1,SUM(Tidstabel[[#This Row],[År]]*(1-ABS(Tidstabel[[#This Row],[LCC-Difference]])/(ABS(Tidstabel[[#This Row],[LCC-Difference]])+ABS(U83))),A83*(1-ABS(U83)/(ABS(Tidstabel[[#This Row],[LCC-Difference]])+ABS(U83)))),"-"))</f>
        <v>.</v>
      </c>
      <c r="X82" s="174" t="str">
        <f>IF(Tidstabel[[#This Row],[År]]&gt;Input_Tidshorisont,BlankTegn,
IF(Tidstabel[[#This Row],[LCC-Skæring]]=-1,SUM(Tidstabel[[#This Row],[NPV_Klimafacade]]*(1-ABS(Tidstabel[[#This Row],[LCC-Difference]])/(ABS(Tidstabel[[#This Row],[LCC-Difference]])+ABS(U83))),AB83*(1-ABS(U83)/(ABS(Tidstabel[[#This Row],[LCC-Difference]])+ABS(U83)))),"-"))</f>
        <v>.</v>
      </c>
      <c r="Y82" s="174" t="str">
        <f>IF(Tidstabel[[#This Row],[År]]&gt;Input_Tidshorisont,BlankTegn,
IF(Tidstabel[[#This Row],[LCC-Skæring]]=1,SUM(Tidstabel[[#This Row],[År]]*(1-ABS(Tidstabel[[#This Row],[LCC-Difference]])/(ABS(Tidstabel[[#This Row],[LCC-Difference]])+ABS(U83))),A83*(1-ABS(U83)/(ABS(Tidstabel[[#This Row],[LCC-Difference]])+ABS(U83)))),"-"))</f>
        <v>.</v>
      </c>
      <c r="Z82" s="264" t="str">
        <f>IF(Tidstabel[[#This Row],[År]]&gt;Input_Tidshorisont,BlankTegn,
IF(Tidstabel[[#This Row],[LCC-Skæring]]=1,SUM(Tidstabel[[#This Row],[NPV_Klimafacade]]*(1-ABS(Tidstabel[[#This Row],[LCC-Difference]])/(ABS(Tidstabel[[#This Row],[LCC-Difference]])+ABS(U83))),AB83*(1-ABS(U83)/(ABS(Tidstabel[[#This Row],[LCC-Difference]])+ABS(U83)))),"-"))</f>
        <v>.</v>
      </c>
      <c r="AA82" s="142" t="str">
        <f>IF(Tidstabel[[#This Row],[År]]&gt;Input_Tidshorisont,BlankTegn,
Tidstabel[[#This Row],[EF_Vedligehold_Aggregeret]])</f>
        <v>.</v>
      </c>
      <c r="AB82"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82" s="142" t="str">
        <f>IFERROR(IF(Tidstabel[[#This Row],[År]]&gt;Input_Tidshorisont,BlankTegn,
Tidstabel[[#This Row],[KF_Anskaffelse_Aggregeret]]+Tidstabel[[#This Row],[KF_Engangsudgifter_Aggregeret]]),BlankTegn)</f>
        <v>.</v>
      </c>
      <c r="AD82" s="174" t="str">
        <f>IFERROR(IF(Tidstabel[[#This Row],[År]]&gt;Input_Tidshorisont,BlankTegn,
IF(Tidstabel[[#This Row],[År]]=0,0,Tidstabel[[#This Row],[NPV_Eksisterende]]*(Tidstabel[[#This Row],[Kalkulationsrente]]/(1-(1+Tidstabel[[#This Row],[Kalkulationsrente]])^-Tidstabel[[#This Row],[År]])))),BlankTegn)</f>
        <v>.</v>
      </c>
      <c r="AE82" s="264" t="str">
        <f>IFERROR(IF(Tidstabel[[#This Row],[År]]&gt;Input_Tidshorisont,BlankTegn,
IF(Tidstabel[[#This Row],[År]]=0,0,Tidstabel[[#This Row],[NPV_Klimafacade]]*(Tidstabel[[#This Row],[Kalkulationsrente]]/(1-(1+Tidstabel[[#This Row],[Kalkulationsrente]])^-Tidstabel[[#This Row],[År]])))),BlankTegn)</f>
        <v>.</v>
      </c>
      <c r="AF82" s="270" t="str">
        <f ca="1">IF(Tidstabel[[#This Row],[År]]&gt;Input_Tidshorisont,BlankTegn,
IF(EF_Vedligehold_i=1,IF(Tidstabel[[#This Row],[EF_Uds?]]=0,1,0),IF(MAX(AF81:OFFSET(AG81,2-EF_Vedligehold_i,0),Tidstabel[[#This Row],[EF_Uds?]])=0,1,0)))</f>
        <v>.</v>
      </c>
      <c r="AG82" s="181" t="str">
        <f>IF(Tidstabel[[#This Row],[År]]&gt;Input_Tidshorisont,BlankTegn,0)</f>
        <v>.</v>
      </c>
      <c r="AH82" s="263" t="str">
        <f>IF(Tidstabel[[#This Row],[År]]&gt;Input_Tidshorisont,BlankTegn,
Tidstabel[[#This Row],[EF_Ved?]]*EF_Vedligehold_p*-EF_Enhedspris*((1+Tidstabel[[#This Row],[Kalkulationsrente]])^-Tidstabel[[#This Row],[År]])*((1+PrisudviklingGenerelt)^Tidstabel[[#This Row],[År]]))</f>
        <v>.</v>
      </c>
      <c r="AI82" s="262" t="str">
        <f>IF(Tidstabel[[#This Row],[År]]&gt;Input_Tidshorisont,BlankTegn,
IF(Tidstabel[[#This Row],[År]]=0,Tidstabel[[#This Row],[EF_Vedligehold]],AI81+Tidstabel[[#This Row],[EF_Vedligehold]]))</f>
        <v>.</v>
      </c>
      <c r="AJ82" s="245" t="str">
        <f>IFERROR(IF(Tidstabel[[#This Row],[År]]&gt;Input_Tidshorisont,BlankTegn,
Tidstabel[[#This Row],[FB_Anskaffelse]]+Tidstabel[[#This Row],[VS_Anskaffelse]]+Tidstabel[[#This Row],[EI_Anskaffelse]]+Tidstabel[[#This Row],[AP_Anskaffelse]]+Tidstabel[[#This Row],[SK_Anskaffelse]]),BlankTegn)</f>
        <v>.</v>
      </c>
      <c r="AK82" s="245" t="str">
        <f>IFERROR(IF(Tidstabel[[#This Row],[År]]&gt;Input_Tidshorisont,BlankTegn,
IF(Tidstabel[[#This Row],[År]]=0,Tidstabel[[#This Row],[KF_Anskaffelse]],AK81+Tidstabel[[#This Row],[KF_Anskaffelse]])),BlankTegn)</f>
        <v>.</v>
      </c>
      <c r="AL82" s="246" t="str">
        <f>IFERROR(IF(Tidstabel[[#This Row],[År]]&gt;Input_Tidshorisont,BlankTegn,
Tidstabel[[#This Row],[FB_Vedligehold]]+Tidstabel[[#This Row],[VS_Vedligehold]]+Tidstabel[[#This Row],[EI_Vedligehold]]+Tidstabel[[#This Row],[AP_Vedligehold]]+Tidstabel[[#This Row],[SK_Vedligehold]]),BlankTegn)</f>
        <v>.</v>
      </c>
      <c r="AM82" s="245" t="str">
        <f>IFERROR(IF(Tidstabel[[#This Row],[År]]&gt;Input_Tidshorisont,BlankTegn,
IF(Tidstabel[[#This Row],[År]]=0,Tidstabel[[#This Row],[KF_Vedligehold]],AM81+Tidstabel[[#This Row],[KF_Vedligehold]])),BlankTegn)</f>
        <v>.</v>
      </c>
      <c r="AN82"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82"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82" s="245" t="str">
        <f>IFERROR(IF(Tidstabel[[#This Row],[År]]&gt;Input_Tidshorisont,BlankTegn,
IF(Tidstabel[[#This Row],[År]]=0,Tidstabel[[#This Row],[KF_Udskiftning_Komponent]],AP81+Tidstabel[[#This Row],[KF_Udskiftning_Komponent]])),BlankTegn)</f>
        <v>.</v>
      </c>
      <c r="AQ82" s="245" t="str">
        <f>IF(Tidstabel[[#This Row],[År]]&gt;Input_Tidshorisont,BlankTegn,
IF(Tidstabel[[#This Row],[År]]=0,-SUM(Engangsudgifter[Udgift]),0))</f>
        <v>.</v>
      </c>
      <c r="AR82" s="245" t="str">
        <f>IFERROR(IF(Tidstabel[[#This Row],[År]]&gt;Input_Tidshorisont,BlankTegn,
IF(Tidstabel[[#This Row],[År]]=0,Tidstabel[[#This Row],[KF_Engangsudgifter]],AR81+Tidstabel[[#This Row],[KF_Engangsudgifter]])),BlankTegn)</f>
        <v>.</v>
      </c>
      <c r="AS82" s="315" t="str">
        <f>IFERROR(IF(Tidstabel[[#This Row],[År]]&gt;Input_Tidshorisont,BlankTegn,
-Energibesparelse_Årlig),BlankTegn)</f>
        <v>.</v>
      </c>
      <c r="AT82" s="245" t="str">
        <f>IFERROR(IF(Tidstabel[[#This Row],[År]]&gt;Input_Tidshorisont,BlankTegn,
IF(Tidstabel[[#This Row],[År]]=0,0,-Tidstabel[[#This Row],[KF_Energiforbrug]]*Input_Fjernvarmepris*((1+Tidstabel[[#This Row],[Kalkulationsrente]])^-Tidstabel[[#This Row],[År]])*((1+PrisudviklingFjernvarme)^Tidstabel[[#This Row],[År]]))),BlankTegn)</f>
        <v>.</v>
      </c>
      <c r="AU82" s="262" t="str">
        <f>IFERROR(IF(Tidstabel[[#This Row],[År]]&gt;Input_Tidshorisont,BlankTegn,
IF(Tidstabel[[#This Row],[År]]=0,Tidstabel[[#This Row],[KF_Forsyning]],AU81+Tidstabel[[#This Row],[KF_Forsyning]])),BlankTegn)</f>
        <v>.</v>
      </c>
      <c r="AV82" s="245" t="str">
        <f>IFERROR(IF(Tidstabel[[#This Row],[År]]&gt;Input_Tidshorisont,BlankTegn,
IF(Tidstabel[[#This Row],[År]]=0,-FB_Enhedspris,0)),BlankTegn)</f>
        <v>.</v>
      </c>
      <c r="AW82" s="245" t="str">
        <f>IFERROR(IF(Tidstabel[[#This Row],[År]]&gt;Input_Tidshorisont,BlankTegn,
IF(Tidstabel[[#This Row],[År]]=0,FB_Enhedspris/FB_Levetid,AW81*((1+Tidstabel[[#This Row],[Kalkulationsrente]])^-1)*((1+PrisudviklingGenerelt)^1))),BlankTegn)</f>
        <v>.</v>
      </c>
      <c r="AX82" s="178" t="str">
        <f ca="1">IFERROR(IF(Tidstabel[[#This Row],[År]]&gt;Input_Tidshorisont,BlankTegn,
IF(FB_Vedligehold_i=1,IF(Tidstabel[[#This Row],[FB_Uds?]]=0,1,0),IF(MAX(AX81:OFFSET(AY81,2-FB_Vedligehold_i,0),Tidstabel[[#This Row],[FB_Uds?]])=0,1,0))),BlankTegn)</f>
        <v>.</v>
      </c>
      <c r="AY82" s="178" t="str">
        <f>IFERROR(IF(Tidstabel[[#This Row],[År]]&gt;Input_Tidshorisont,BlankTegn,
IF(Tidstabel[[#This Row],[År]]=0,1,IF(MOD(Tidstabel[[#This Row],[År]],FB_Levetid)=0,1,IF(Tidstabel[[#This Row],[År]]=Input_Tidshorisont,0,0)))),BlankTegn)</f>
        <v>.</v>
      </c>
      <c r="AZ82" s="245" t="str">
        <f>IFERROR(IF(Tidstabel[[#This Row],[År]]&gt;Input_Tidshorisont,BlankTegn,
FB_Vedligehold_p*-FB_Enhedspris*Tidstabel[[#This Row],[FB_Ved?]]*((1+Tidstabel[[#This Row],[Kalkulationsrente]])^-Tidstabel[[#This Row],[År]])*((1+PrisudviklingGenerelt)^Tidstabel[[#This Row],[År]])),BlankTegn)</f>
        <v>.</v>
      </c>
      <c r="BA82" s="245" t="str">
        <f>IFERROR(IF(Tidstabel[[#This Row],[År]]&gt;Input_Tidshorisont,BlankTegn,
IF(Tidstabel[[#This Row],[År]]=0,FB_Enhedspris,SUM(BA81:BB81)*((1+Tidstabel[[#This Row],[Kalkulationsrente]])^-1)*((1+PrisudviklingGenerelt)^1)-Tidstabel[[#This Row],[FB_Afskrivning]])),BlankTegn)</f>
        <v>.</v>
      </c>
      <c r="BB82" s="245" t="str">
        <f>IFERROR(IF(Tidstabel[[#This Row],[År]]&gt;Input_Tidshorisont,BlankTegn,
IF(Tidstabel[[#This Row],[År]]=0,0,Tidstabel[[#This Row],[FB_Uds?]]*FB_Enhedspris*((1+Tidstabel[[#This Row],[Kalkulationsrente]])^-Tidstabel[[#This Row],[År]])*((1+PrisudviklingGenerelt)^Tidstabel[[#This Row],[År]]))),BlankTegn)</f>
        <v>.</v>
      </c>
      <c r="BC82" s="262" t="str">
        <f>IFERROR(IF(Tidstabel[[#This Row],[År]]&gt;Input_Tidshorisont,BlankTegn,
IF(Tidstabel[[#This Row],[År]]=0,0,Tidstabel[[#This Row],[FB_Uds?]]*-FB_Enhedspris*FB_Genoprettelse*((1+Tidstabel[[#This Row],[Kalkulationsrente]])^-Tidstabel[[#This Row],[År]])*((1+PrisudviklingGenerelt)^Tidstabel[[#This Row],[År]]))),BlankTegn)</f>
        <v>.</v>
      </c>
      <c r="BD82" s="245" t="str">
        <f>IFERROR(IF(Tidstabel[[#This Row],[År]]&gt;Input_Tidshorisont,BlankTegn,
IF(Tidstabel[[#This Row],[År]]=0,-VS_Enhedspris,0)),BlankTegn)</f>
        <v>.</v>
      </c>
      <c r="BE82" s="245" t="str">
        <f>IFERROR(IF(Tidstabel[[#This Row],[År]]&gt;Input_Tidshorisont,BlankTegn,
IF(Tidstabel[[#This Row],[År]]=0,VS_Enhedspris/VS_Levetid,BE81*((1+Tidstabel[[#This Row],[Kalkulationsrente]])^-1)*((1+PrisudviklingGenerelt)^1))),BlankTegn)</f>
        <v>.</v>
      </c>
      <c r="BF82" s="178" t="str">
        <f ca="1">IFERROR(IF(Tidstabel[[#This Row],[År]]&gt;Input_Tidshorisont,BlankTegn,
IF(VS_Vedligehold_i=1,IF(Tidstabel[[#This Row],[VS_Uds?]]=0,1,0),IF(MAX(BF81:OFFSET(BG81,2-VS_Vedligehold_i,0),Tidstabel[[#This Row],[VS_Uds?]])=0,1,0))),BlankTegn)</f>
        <v>.</v>
      </c>
      <c r="BG82" s="178" t="str">
        <f>IFERROR(IF(Tidstabel[[#This Row],[År]]&gt;Input_Tidshorisont,BlankTegn,
IF(Tidstabel[[#This Row],[År]]=0,1,IF(MOD(Tidstabel[[#This Row],[År]],VS_Levetid)=0,1,IF(Tidstabel[[#This Row],[År]]=Input_Tidshorisont,0,0)))),BlankTegn)</f>
        <v>.</v>
      </c>
      <c r="BH82" s="245" t="str">
        <f>IFERROR(IF(Tidstabel[[#This Row],[År]]&gt;Input_Tidshorisont,BlankTegn,
VS_Vedligehold_p*-VS_Enhedspris*Tidstabel[[#This Row],[VS_Ved?]]*((1+Tidstabel[[#This Row],[Kalkulationsrente]])^-Tidstabel[[#This Row],[År]])*((1+PrisudviklingGenerelt)^Tidstabel[[#This Row],[År]])),BlankTegn)</f>
        <v>.</v>
      </c>
      <c r="BI82" s="245" t="str">
        <f>IFERROR(IF(Tidstabel[[#This Row],[År]]&gt;Input_Tidshorisont,BlankTegn,
IF(Tidstabel[[#This Row],[År]]=0,VS_Enhedspris,SUM(BI81:BJ81)*((1+Tidstabel[[#This Row],[Kalkulationsrente]])^-1)*((1+PrisudviklingGenerelt)^1)-Tidstabel[[#This Row],[VS_Afskrivning]])),BlankTegn)</f>
        <v>.</v>
      </c>
      <c r="BJ82" s="245" t="str">
        <f>IFERROR(IF(Tidstabel[[#This Row],[År]]&gt;Input_Tidshorisont,BlankTegn,
IF(Tidstabel[[#This Row],[År]]=0,0,Tidstabel[[#This Row],[VS_Uds?]]*VS_Enhedspris*((1+Tidstabel[[#This Row],[Kalkulationsrente]])^-Tidstabel[[#This Row],[År]])*((1+PrisudviklingGenerelt)^Tidstabel[[#This Row],[År]]))),BlankTegn)</f>
        <v>.</v>
      </c>
      <c r="BK82" s="262" t="str">
        <f>IFERROR(IF(Tidstabel[[#This Row],[År]]&gt;Input_Tidshorisont,BlankTegn,
IF(Tidstabel[[#This Row],[År]]=0,0,Tidstabel[[#This Row],[VS_Uds?]]*-VS_Enhedspris*VS_Genoprettelse*((1+Tidstabel[[#This Row],[Kalkulationsrente]])^-Tidstabel[[#This Row],[År]])*((1+PrisudviklingGenerelt)^Tidstabel[[#This Row],[År]]))),BlankTegn)</f>
        <v>.</v>
      </c>
      <c r="BL82" s="245" t="str">
        <f>IFERROR(IF(Tidstabel[[#This Row],[År]]&gt;Input_Tidshorisont,BlankTegn,
IF(Tidstabel[[#This Row],[År]]=0,-EI_Enhedspris,0)),BlankTegn)</f>
        <v>.</v>
      </c>
      <c r="BM82" s="245" t="str">
        <f>IFERROR(IF(Tidstabel[[#This Row],[År]]&gt;Input_Tidshorisont,BlankTegn,
IF(Tidstabel[[#This Row],[År]]=0,EI_Enhedspris/EI_Levetid,BM81*((1+Tidstabel[[#This Row],[Kalkulationsrente]])^-1)*((1+PrisudviklingGenerelt)^1))),BlankTegn)</f>
        <v>.</v>
      </c>
      <c r="BN82" s="178" t="str">
        <f ca="1">IFERROR(IF(Tidstabel[[#This Row],[År]]&gt;Input_Tidshorisont,BlankTegn,
IF(EI_Vedligehold_i=1,IF(Tidstabel[[#This Row],[EI_Uds?]]=0,1,0),IF(MAX(BN81:OFFSET(BO81,2-EI_Vedligehold_i,0),Tidstabel[[#This Row],[EI_Uds?]])=0,1,0))),BlankTegn)</f>
        <v>.</v>
      </c>
      <c r="BO82" s="178" t="str">
        <f>IFERROR(IF(Tidstabel[[#This Row],[År]]&gt;Input_Tidshorisont,BlankTegn,
IF(Tidstabel[[#This Row],[År]]=0,1,IF(MOD(Tidstabel[[#This Row],[År]],EI_Levetid)=0,1,IF(Tidstabel[[#This Row],[År]]=Input_Tidshorisont,0,0)))),BlankTegn)</f>
        <v>.</v>
      </c>
      <c r="BP82" s="245" t="str">
        <f>IFERROR(IF(Tidstabel[[#This Row],[År]]&gt;Input_Tidshorisont,BlankTegn,
EI_Vedligehold_p*-EI_Enhedspris*Tidstabel[[#This Row],[EI_Ved?]]*((1+Tidstabel[[#This Row],[Kalkulationsrente]])^-Tidstabel[[#This Row],[År]])*((1+PrisudviklingGenerelt)^Tidstabel[[#This Row],[År]])),BlankTegn)</f>
        <v>.</v>
      </c>
      <c r="BQ82" s="245" t="str">
        <f>IFERROR(IF(Tidstabel[[#This Row],[År]]&gt;Input_Tidshorisont,BlankTegn,
IF(Tidstabel[[#This Row],[År]]=0,EI_Enhedspris,SUM(BQ81:BR81)*((1+Tidstabel[[#This Row],[Kalkulationsrente]])^-1)*((1+PrisudviklingGenerelt)^1)-Tidstabel[[#This Row],[EI_Afskrivning]])),BlankTegn)</f>
        <v>.</v>
      </c>
      <c r="BR82" s="245" t="str">
        <f>IFERROR(IF(Tidstabel[[#This Row],[År]]&gt;Input_Tidshorisont,BlankTegn,
IF(Tidstabel[[#This Row],[År]]=0,0,Tidstabel[[#This Row],[EI_Uds?]]*EI_Enhedspris*((1+Tidstabel[[#This Row],[Kalkulationsrente]])^-Tidstabel[[#This Row],[År]])*((1+PrisudviklingGenerelt)^Tidstabel[[#This Row],[År]]))),BlankTegn)</f>
        <v>.</v>
      </c>
      <c r="BS82" s="262" t="str">
        <f>IFERROR(IF(Tidstabel[[#This Row],[År]]&gt;Input_Tidshorisont,BlankTegn,
IF(Tidstabel[[#This Row],[År]]=0,0,Tidstabel[[#This Row],[EI_Uds?]]*-EI_Enhedspris*EI_Genoprettelse*((1+Tidstabel[[#This Row],[Kalkulationsrente]])^-Tidstabel[[#This Row],[År]])*((1+PrisudviklingGenerelt)^Tidstabel[[#This Row],[År]]))),BlankTegn)</f>
        <v>.</v>
      </c>
      <c r="BT82" s="245" t="str">
        <f>IFERROR(IF(Tidstabel[[#This Row],[År]]&gt;Input_Tidshorisont,BlankTegn,
IF(Tidstabel[[#This Row],[År]]=0,-AP_Enhedspris,0)),BlankTegn)</f>
        <v>.</v>
      </c>
      <c r="BU82" s="245" t="str">
        <f>IFERROR(IF(Tidstabel[[#This Row],[År]]&gt;Input_Tidshorisont,BlankTegn,
IF(Tidstabel[[#This Row],[År]]=0,AP_Enhedspris/AP_Levetid,BU81*((1+Tidstabel[[#This Row],[Kalkulationsrente]])^-1)*((1+PrisudviklingGenerelt)^1))),BlankTegn)</f>
        <v>.</v>
      </c>
      <c r="BV82" s="178" t="str">
        <f ca="1">IFERROR(IF(Tidstabel[[#This Row],[År]]&gt;Input_Tidshorisont,BlankTegn,
IF(AP_Vedligehold_i=1,IF(Tidstabel[[#This Row],[AP_Uds?]]=0,1,0),IF(MAX(BV81:OFFSET(BW81,2-AP_Vedligehold_i,0),Tidstabel[[#This Row],[AP_Uds?]])=0,1,0))),BlankTegn)</f>
        <v>.</v>
      </c>
      <c r="BW82" s="178" t="str">
        <f>IFERROR(IF(Tidstabel[[#This Row],[År]]&gt;Input_Tidshorisont,BlankTegn,
IF(Tidstabel[[#This Row],[År]]=0,1,IF(MOD(Tidstabel[[#This Row],[År]],AP_Levetid)=0,1,IF(Tidstabel[[#This Row],[År]]=Input_Tidshorisont,0,0)))),BlankTegn)</f>
        <v>.</v>
      </c>
      <c r="BX82" s="245" t="str">
        <f>IFERROR(IF(Tidstabel[[#This Row],[År]]&gt;Input_Tidshorisont,BlankTegn,
AP_Vedligehold_p*-AP_Enhedspris*Tidstabel[[#This Row],[AP_Ved?]]*((1+Tidstabel[[#This Row],[Kalkulationsrente]])^-Tidstabel[[#This Row],[År]])*((1+PrisudviklingGenerelt)^Tidstabel[[#This Row],[År]])),BlankTegn)</f>
        <v>.</v>
      </c>
      <c r="BY82" s="245" t="str">
        <f>IFERROR(IF(Tidstabel[[#This Row],[År]]&gt;Input_Tidshorisont,BlankTegn,
IF(Tidstabel[[#This Row],[År]]=0,AP_Enhedspris,SUM(BY81:BZ81)*((1+Tidstabel[[#This Row],[Kalkulationsrente]])^-1)*((1+PrisudviklingGenerelt)^1)-Tidstabel[[#This Row],[AP_Afskrivning]])),BlankTegn)</f>
        <v>.</v>
      </c>
      <c r="BZ82" s="245" t="str">
        <f>IFERROR(IF(Tidstabel[[#This Row],[År]]&gt;Input_Tidshorisont,BlankTegn,
IF(Tidstabel[[#This Row],[År]]=0,0,Tidstabel[[#This Row],[AP_Uds?]]*AP_Enhedspris*((1+Tidstabel[[#This Row],[Kalkulationsrente]])^-Tidstabel[[#This Row],[År]])*((1+PrisudviklingGenerelt)^Tidstabel[[#This Row],[År]]))),BlankTegn)</f>
        <v>.</v>
      </c>
      <c r="CA82" s="262" t="str">
        <f>IFERROR(IF(Tidstabel[[#This Row],[År]]&gt;Input_Tidshorisont,BlankTegn,
IF(Tidstabel[[#This Row],[År]]=0,0,Tidstabel[[#This Row],[AP_Uds?]]*-AP_Enhedspris*AP_Genoprettelse*((1+Tidstabel[[#This Row],[Kalkulationsrente]])^-Tidstabel[[#This Row],[År]])*((1+PrisudviklingGenerelt)^Tidstabel[[#This Row],[År]]))),BlankTegn)</f>
        <v>.</v>
      </c>
      <c r="CB82" s="245" t="str">
        <f>IFERROR(IF(Tidstabel[[#This Row],[År]]&gt;Input_Tidshorisont,BlankTegn,
IF(Tidstabel[[#This Row],[År]]=0,-SK_Enhedspris,0)),BlankTegn)</f>
        <v>.</v>
      </c>
      <c r="CC82" s="245" t="str">
        <f>IFERROR(IF(Tidstabel[[#This Row],[År]]&gt;Input_Tidshorisont,BlankTegn,
IF(Tidstabel[[#This Row],[År]]=0,SK_Enhedspris/SK_Levetid,CC81*((1+Tidstabel[[#This Row],[Kalkulationsrente]])^-1)*((1+PrisudviklingGenerelt)^1))),BlankTegn)</f>
        <v>.</v>
      </c>
      <c r="CD82" s="178" t="str">
        <f ca="1">IFERROR(IF(Tidstabel[[#This Row],[År]]&gt;Input_Tidshorisont,BlankTegn,
IF(SK_Vedligehold_i=1,IF(Tidstabel[[#This Row],[SK_Uds?]]=0,1,0),IF(MAX(CD81:OFFSET(CE81,2-SK_Vedligehold_i,0),Tidstabel[[#This Row],[SK_Uds?]])=0,1,0))),BlankTegn)</f>
        <v>.</v>
      </c>
      <c r="CE82" s="178" t="str">
        <f>IFERROR(IF(Tidstabel[[#This Row],[År]]&gt;Input_Tidshorisont,BlankTegn,
IF(Tidstabel[[#This Row],[År]]=0,1,IF(MOD(Tidstabel[[#This Row],[År]],SK_Levetid)=0,1,IF(Tidstabel[[#This Row],[År]]=Input_Tidshorisont,0,0)))),BlankTegn)</f>
        <v>.</v>
      </c>
      <c r="CF82" s="245" t="str">
        <f>IFERROR(IF(Tidstabel[[#This Row],[År]]&gt;Input_Tidshorisont,BlankTegn,
SK_Vedligehold_p*-SK_Enhedspris*Tidstabel[[#This Row],[SK_Ved?]]*((1+Tidstabel[[#This Row],[Kalkulationsrente]])^-Tidstabel[[#This Row],[År]])*((1+PrisudviklingGenerelt)^Tidstabel[[#This Row],[År]])),BlankTegn)</f>
        <v>.</v>
      </c>
      <c r="CG82" s="245" t="str">
        <f>IFERROR(IF(Tidstabel[[#This Row],[År]]&gt;Input_Tidshorisont,BlankTegn,
IF(Tidstabel[[#This Row],[År]]=0,SK_Enhedspris,SUM(CG81:CH81)*((1+Tidstabel[[#This Row],[Kalkulationsrente]])^-1)*((1+PrisudviklingGenerelt)^1)-Tidstabel[[#This Row],[SK_Afskrivning]])),BlankTegn)</f>
        <v>.</v>
      </c>
      <c r="CH82" s="245" t="str">
        <f>IFERROR(IF(Tidstabel[[#This Row],[År]]&gt;Input_Tidshorisont,BlankTegn,
IF(Tidstabel[[#This Row],[År]]=0,0,Tidstabel[[#This Row],[SK_Uds?]]*SK_Enhedspris*((1+Tidstabel[[#This Row],[Kalkulationsrente]])^-Tidstabel[[#This Row],[År]])*((1+PrisudviklingGenerelt)^Tidstabel[[#This Row],[År]]))),BlankTegn)</f>
        <v>.</v>
      </c>
      <c r="CI82" s="262" t="str">
        <f>IFERROR(IF(Tidstabel[[#This Row],[År]]&gt;Input_Tidshorisont,BlankTegn,
IF(Tidstabel[[#This Row],[År]]=0,0,Tidstabel[[#This Row],[SK_Uds?]]*-SK_Enhedspris*SK_Genoprettelse*((1+Tidstabel[[#This Row],[Kalkulationsrente]])^-Tidstabel[[#This Row],[År]])*((1+PrisudviklingGenerelt)^Tidstabel[[#This Row],[År]]))),BlankTegn)</f>
        <v>.</v>
      </c>
      <c r="CJ82" s="19"/>
    </row>
    <row r="83" spans="1:88">
      <c r="A83" s="250">
        <v>76</v>
      </c>
      <c r="B83" s="250">
        <f>Input_Etableringsår+Tidstabel[[#This Row],[År]]</f>
        <v>2100</v>
      </c>
      <c r="C83" s="274" cm="1">
        <f t="array" ref="C83">_xlfn.IFS(Tidstabel[[#This Row],[År]]&gt;KR_Trin3_Tærskel,KR_Trin3_Rente,Tidstabel[[#This Row],[År]]&gt;KR_Trin2_Tærskel,KR_Trin2_Rente,Tidstabel[[#This Row],[År]]&gt;KR_Trin1_Tærskel,KR_Trin1_Rente,Tidstabel[[#This Row],[År]]&gt;KR_Trin0_Tærskel,KR_Trin0_Rente)</f>
        <v>1.4999999999999999E-2</v>
      </c>
      <c r="D83" s="142" t="str" cm="1">
        <f t="array" ref="D83">IFERROR(
INDEX(Range_Materiale_ÅrligeEmissioner,MATCH(1,(Materialedata[Komponent]=FB_Titel)*(Materialedata[Materiale]=FB_Materiale),0),MATCH(Tidstabel[[#This Row],[År]],Range_Materiale_År,0)),BlankTegn)</f>
        <v>.</v>
      </c>
      <c r="E83" s="142" t="str" cm="1">
        <f t="array" ref="E83">IFERROR(
INDEX(Range_Materiale_ÅrligeEmissioner,MATCH(1,(Materialedata[Komponent]=SK_Titel)*(Materialedata[Materiale]=SK_Materiale),0),MATCH(Tidstabel[[#This Row],[År]],Range_Materiale_År,0)),BlankTegn)</f>
        <v>.</v>
      </c>
      <c r="F83" s="142" t="str" cm="1">
        <f t="array" ref="F83">IFERROR(
INDEX(Range_Materiale_ÅrligeEmissioner,MATCH(1,(Materialedata[Komponent]=EI_Titel)*(Materialedata[Materiale]=EI_Materiale),0),MATCH(Tidstabel[[#This Row],[År]],Range_Materiale_År,0)),BlankTegn)</f>
        <v>.</v>
      </c>
      <c r="G83" s="142" t="str" cm="1">
        <f t="array" ref="G83">IFERROR(
INDEX(Range_Materiale_ÅrligeEmissioner,MATCH(1,(Materialedata[Komponent]=AP_Titel)*(Materialedata[Materiale]=AP_Materiale),0),MATCH(Tidstabel[[#This Row],[År]],Range_Materiale_År,0)),BlankTegn)</f>
        <v>.</v>
      </c>
      <c r="H83" s="142" t="str" cm="1">
        <f t="array" ref="H83">IFERROR(
INDEX(Range_Materiale_ÅrligeEmissioner,MATCH(1,(Materialedata[Komponent]=VS_Titel)*(Materialedata[Materiale]=VS_Materiale),0),MATCH(Tidstabel[[#This Row],[År]],Range_Materiale_År,0)),BlankTegn)</f>
        <v>.</v>
      </c>
      <c r="I83" s="142" t="str">
        <f>IFERROR(
IF(SUM(Tidstabel[[#This Row],[Facadebeklædning]:[Vindspærre]])=0,BlankTegn,
SUM(Tidstabel[[#This Row],[Facadebeklædning]:[Vindspærre]])),BlankTegn)</f>
        <v>.</v>
      </c>
      <c r="J83" s="139" t="str">
        <f>IF(Tidstabel[[#This Row],[År]]&gt;Input_Tidshorisont,BlankTegn,
A5_ElVarmeBrændstofByggeplads)</f>
        <v>.</v>
      </c>
      <c r="K83" s="142" t="str">
        <f>IFERROR(IF(Tidstabel[[#This Row],[År]]&gt;Input_Tidshorisont,BlankTegn,
-1*INDEX(Range_Energi_ÅrligBesparelse,MATCH(Input_EksisterendeFacade,Energiberegning[Ydervæg],0),MATCH(Tidstabel[[#This Row],[Årstal]],Range_Energi_Årstal,0))),BlankTegn)</f>
        <v>.</v>
      </c>
      <c r="L83" s="142" t="str">
        <f>IF(Tidstabel[[#This Row],[År]]&gt;Input_Tidshorisont,BlankTegn,
(Tidstabel[[#This Row],[År]]+1)*(SUM(Vedligeholdelsesmaterialer[Facadefarve],Vedligeholdelsesmaterialer[Grunder og mellemmaling])/12+SUM(Vedligeholdelsesmaterialer[Puds])/30))</f>
        <v>.</v>
      </c>
      <c r="M83" s="142" t="str">
        <f>IFERROR(IF(Tidstabel[[#This Row],[År]]&gt;Input_Tidshorisont,BlankTegn,
Tidstabel[[#This Row],[Materialer_Total]]+Tidstabel[[#This Row],[Byggeprocess]]),BlankTegn)</f>
        <v>.</v>
      </c>
      <c r="N83" s="142" t="str">
        <f>IFERROR(IF(Tidstabel[[#This Row],[År]]&gt;Input_Tidshorisont,BlankTegn,
Tidstabel[[#This Row],[Energibesparelse]]+Tidstabel[[#This Row],[Emission_Brutto]]),BlankTegn)</f>
        <v>.</v>
      </c>
      <c r="O83" s="142" t="str">
        <f>IFERROR(IF(Tidstabel[[#This Row],[År]]&gt;Input_Tidshorisont,BlankTegn,
Tidstabel[[#This Row],[Emission_Netto]]-Tidstabel[[#This Row],[Vedligehold_EksisterendeFacade]]),BlankTegn)</f>
        <v>.</v>
      </c>
      <c r="P83" s="271" t="str">
        <f>IFERROR(IF(Tidstabel[[#This Row],[År]]&gt;Input_Tidshorisont,BlankTegn,
IF(AND(Tidstabel[[#This Row],[Emission_Netto]]-Tidstabel[[#This Row],[Vedligehold_EksisterendeFacade]]&gt;0,N84-L84&lt;0),-1,IF(AND(Tidstabel[[#This Row],[Emission_Netto]]-Tidstabel[[#This Row],[Vedligehold_EksisterendeFacade]]&lt;0,N84-L84&gt;0),1,0))),BlankTegn)</f>
        <v>.</v>
      </c>
      <c r="Q83" s="174" t="str">
        <f>IF(Tidstabel[[#This Row],[År]]&gt;Input_Tidshorisont,BlankTegn,
IF(Tidstabel[[#This Row],[LCA-Skæring]]=-1,SUM(Tidstabel[[#This Row],[År]]*(1-ABS(Tidstabel[[#This Row],[LCA-Difference]])/(ABS(Tidstabel[[#This Row],[LCA-Difference]])+ABS(O84))),A84*(1-ABS(O84)/(ABS(Tidstabel[[#This Row],[LCA-Difference]])+ABS(O84)))),"-"))</f>
        <v>.</v>
      </c>
      <c r="R83" s="174" t="str">
        <f>IF(Tidstabel[[#This Row],[År]]&gt;Input_Tidshorisont,BlankTegn,
IF(Tidstabel[[#This Row],[LCA-Skæring]]=-1,SUM(Tidstabel[[#This Row],[Emission_Netto]]*(1-ABS(Tidstabel[[#This Row],[LCA-Difference]])/(ABS(Tidstabel[[#This Row],[LCA-Difference]])+ABS(O84))),N84*(1-ABS(O84)/(ABS(Tidstabel[[#This Row],[LCA-Difference]])+ABS(O84)))),"-"))</f>
        <v>.</v>
      </c>
      <c r="S83" s="174" t="str">
        <f>IF(Tidstabel[[#This Row],[År]]&gt;Input_Tidshorisont,BlankTegn,
IF(Tidstabel[[#This Row],[LCA-Skæring]]=1,SUM(Tidstabel[[#This Row],[År]]*(1-ABS(Tidstabel[[#This Row],[LCA-Difference]])/(ABS(Tidstabel[[#This Row],[LCA-Difference]])+ABS(O84))),A84*(1-ABS(O84)/(ABS(Tidstabel[[#This Row],[LCA-Difference]])+ABS(O84)))),"-"))</f>
        <v>.</v>
      </c>
      <c r="T83" s="264" t="str">
        <f>IF(Tidstabel[[#This Row],[År]]&gt;Input_Tidshorisont,BlankTegn,
IF(Tidstabel[[#This Row],[LCA-Skæring]]=1,SUM(Tidstabel[[#This Row],[Emission_Netto]]*(1-ABS(Tidstabel[[#This Row],[LCA-Difference]])/(ABS(Tidstabel[[#This Row],[LCA-Difference]])+ABS(O84))),N84*(1-ABS(O84)/(ABS(Tidstabel[[#This Row],[LCA-Difference]])+ABS(O84)))),"-"))</f>
        <v>.</v>
      </c>
      <c r="U83" s="142" t="str">
        <f>IFERROR(IF(Tidstabel[[#This Row],[År]]&gt;Input_Tidshorisont,BlankTegn,
Tidstabel[[#This Row],[NPV_Klimafacade]]-Tidstabel[[#This Row],[NPV_Eksisterende]]),BlankTegn)</f>
        <v>.</v>
      </c>
      <c r="V83" s="271" t="str">
        <f>IFERROR(IF(Tidstabel[[#This Row],[År]]&gt;Input_Tidshorisont,BlankTegn,
IF(AND(Tidstabel[[#This Row],[NPV_Klimafacade]]-Tidstabel[[#This Row],[NPV_Eksisterende]]&gt;0,AB84-AA84&lt;0),1,IF(AND(Tidstabel[[#This Row],[NPV_Klimafacade]]-Tidstabel[[#This Row],[NPV_Eksisterende]]&lt;0,AB84-AA84&gt;0),-1,0))),BlankTegn)</f>
        <v>.</v>
      </c>
      <c r="W83" s="174" t="str">
        <f>IF(Tidstabel[[#This Row],[År]]&gt;Input_Tidshorisont,BlankTegn,
IF(Tidstabel[[#This Row],[LCC-Skæring]]=-1,SUM(Tidstabel[[#This Row],[År]]*(1-ABS(Tidstabel[[#This Row],[LCC-Difference]])/(ABS(Tidstabel[[#This Row],[LCC-Difference]])+ABS(U84))),A84*(1-ABS(U84)/(ABS(Tidstabel[[#This Row],[LCC-Difference]])+ABS(U84)))),"-"))</f>
        <v>.</v>
      </c>
      <c r="X83" s="174" t="str">
        <f>IF(Tidstabel[[#This Row],[År]]&gt;Input_Tidshorisont,BlankTegn,
IF(Tidstabel[[#This Row],[LCC-Skæring]]=-1,SUM(Tidstabel[[#This Row],[NPV_Klimafacade]]*(1-ABS(Tidstabel[[#This Row],[LCC-Difference]])/(ABS(Tidstabel[[#This Row],[LCC-Difference]])+ABS(U84))),AB84*(1-ABS(U84)/(ABS(Tidstabel[[#This Row],[LCC-Difference]])+ABS(U84)))),"-"))</f>
        <v>.</v>
      </c>
      <c r="Y83" s="174" t="str">
        <f>IF(Tidstabel[[#This Row],[År]]&gt;Input_Tidshorisont,BlankTegn,
IF(Tidstabel[[#This Row],[LCC-Skæring]]=1,SUM(Tidstabel[[#This Row],[År]]*(1-ABS(Tidstabel[[#This Row],[LCC-Difference]])/(ABS(Tidstabel[[#This Row],[LCC-Difference]])+ABS(U84))),A84*(1-ABS(U84)/(ABS(Tidstabel[[#This Row],[LCC-Difference]])+ABS(U84)))),"-"))</f>
        <v>.</v>
      </c>
      <c r="Z83" s="264" t="str">
        <f>IF(Tidstabel[[#This Row],[År]]&gt;Input_Tidshorisont,BlankTegn,
IF(Tidstabel[[#This Row],[LCC-Skæring]]=1,SUM(Tidstabel[[#This Row],[NPV_Klimafacade]]*(1-ABS(Tidstabel[[#This Row],[LCC-Difference]])/(ABS(Tidstabel[[#This Row],[LCC-Difference]])+ABS(U84))),AB84*(1-ABS(U84)/(ABS(Tidstabel[[#This Row],[LCC-Difference]])+ABS(U84)))),"-"))</f>
        <v>.</v>
      </c>
      <c r="AA83" s="142" t="str">
        <f>IF(Tidstabel[[#This Row],[År]]&gt;Input_Tidshorisont,BlankTegn,
Tidstabel[[#This Row],[EF_Vedligehold_Aggregeret]])</f>
        <v>.</v>
      </c>
      <c r="AB83"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83" s="142" t="str">
        <f>IFERROR(IF(Tidstabel[[#This Row],[År]]&gt;Input_Tidshorisont,BlankTegn,
Tidstabel[[#This Row],[KF_Anskaffelse_Aggregeret]]+Tidstabel[[#This Row],[KF_Engangsudgifter_Aggregeret]]),BlankTegn)</f>
        <v>.</v>
      </c>
      <c r="AD83" s="174" t="str">
        <f>IFERROR(IF(Tidstabel[[#This Row],[År]]&gt;Input_Tidshorisont,BlankTegn,
IF(Tidstabel[[#This Row],[År]]=0,0,Tidstabel[[#This Row],[NPV_Eksisterende]]*(Tidstabel[[#This Row],[Kalkulationsrente]]/(1-(1+Tidstabel[[#This Row],[Kalkulationsrente]])^-Tidstabel[[#This Row],[År]])))),BlankTegn)</f>
        <v>.</v>
      </c>
      <c r="AE83" s="264" t="str">
        <f>IFERROR(IF(Tidstabel[[#This Row],[År]]&gt;Input_Tidshorisont,BlankTegn,
IF(Tidstabel[[#This Row],[År]]=0,0,Tidstabel[[#This Row],[NPV_Klimafacade]]*(Tidstabel[[#This Row],[Kalkulationsrente]]/(1-(1+Tidstabel[[#This Row],[Kalkulationsrente]])^-Tidstabel[[#This Row],[År]])))),BlankTegn)</f>
        <v>.</v>
      </c>
      <c r="AF83" s="270" t="str">
        <f ca="1">IF(Tidstabel[[#This Row],[År]]&gt;Input_Tidshorisont,BlankTegn,
IF(EF_Vedligehold_i=1,IF(Tidstabel[[#This Row],[EF_Uds?]]=0,1,0),IF(MAX(AF82:OFFSET(AG82,2-EF_Vedligehold_i,0),Tidstabel[[#This Row],[EF_Uds?]])=0,1,0)))</f>
        <v>.</v>
      </c>
      <c r="AG83" s="181" t="str">
        <f>IF(Tidstabel[[#This Row],[År]]&gt;Input_Tidshorisont,BlankTegn,0)</f>
        <v>.</v>
      </c>
      <c r="AH83" s="263" t="str">
        <f>IF(Tidstabel[[#This Row],[År]]&gt;Input_Tidshorisont,BlankTegn,
Tidstabel[[#This Row],[EF_Ved?]]*EF_Vedligehold_p*-EF_Enhedspris*((1+Tidstabel[[#This Row],[Kalkulationsrente]])^-Tidstabel[[#This Row],[År]])*((1+PrisudviklingGenerelt)^Tidstabel[[#This Row],[År]]))</f>
        <v>.</v>
      </c>
      <c r="AI83" s="262" t="str">
        <f>IF(Tidstabel[[#This Row],[År]]&gt;Input_Tidshorisont,BlankTegn,
IF(Tidstabel[[#This Row],[År]]=0,Tidstabel[[#This Row],[EF_Vedligehold]],AI82+Tidstabel[[#This Row],[EF_Vedligehold]]))</f>
        <v>.</v>
      </c>
      <c r="AJ83" s="245" t="str">
        <f>IFERROR(IF(Tidstabel[[#This Row],[År]]&gt;Input_Tidshorisont,BlankTegn,
Tidstabel[[#This Row],[FB_Anskaffelse]]+Tidstabel[[#This Row],[VS_Anskaffelse]]+Tidstabel[[#This Row],[EI_Anskaffelse]]+Tidstabel[[#This Row],[AP_Anskaffelse]]+Tidstabel[[#This Row],[SK_Anskaffelse]]),BlankTegn)</f>
        <v>.</v>
      </c>
      <c r="AK83" s="245" t="str">
        <f>IFERROR(IF(Tidstabel[[#This Row],[År]]&gt;Input_Tidshorisont,BlankTegn,
IF(Tidstabel[[#This Row],[År]]=0,Tidstabel[[#This Row],[KF_Anskaffelse]],AK82+Tidstabel[[#This Row],[KF_Anskaffelse]])),BlankTegn)</f>
        <v>.</v>
      </c>
      <c r="AL83" s="246" t="str">
        <f>IFERROR(IF(Tidstabel[[#This Row],[År]]&gt;Input_Tidshorisont,BlankTegn,
Tidstabel[[#This Row],[FB_Vedligehold]]+Tidstabel[[#This Row],[VS_Vedligehold]]+Tidstabel[[#This Row],[EI_Vedligehold]]+Tidstabel[[#This Row],[AP_Vedligehold]]+Tidstabel[[#This Row],[SK_Vedligehold]]),BlankTegn)</f>
        <v>.</v>
      </c>
      <c r="AM83" s="245" t="str">
        <f>IFERROR(IF(Tidstabel[[#This Row],[År]]&gt;Input_Tidshorisont,BlankTegn,
IF(Tidstabel[[#This Row],[År]]=0,Tidstabel[[#This Row],[KF_Vedligehold]],AM82+Tidstabel[[#This Row],[KF_Vedligehold]])),BlankTegn)</f>
        <v>.</v>
      </c>
      <c r="AN83"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83"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83" s="245" t="str">
        <f>IFERROR(IF(Tidstabel[[#This Row],[År]]&gt;Input_Tidshorisont,BlankTegn,
IF(Tidstabel[[#This Row],[År]]=0,Tidstabel[[#This Row],[KF_Udskiftning_Komponent]],AP82+Tidstabel[[#This Row],[KF_Udskiftning_Komponent]])),BlankTegn)</f>
        <v>.</v>
      </c>
      <c r="AQ83" s="245" t="str">
        <f>IF(Tidstabel[[#This Row],[År]]&gt;Input_Tidshorisont,BlankTegn,
IF(Tidstabel[[#This Row],[År]]=0,-SUM(Engangsudgifter[Udgift]),0))</f>
        <v>.</v>
      </c>
      <c r="AR83" s="245" t="str">
        <f>IFERROR(IF(Tidstabel[[#This Row],[År]]&gt;Input_Tidshorisont,BlankTegn,
IF(Tidstabel[[#This Row],[År]]=0,Tidstabel[[#This Row],[KF_Engangsudgifter]],AR82+Tidstabel[[#This Row],[KF_Engangsudgifter]])),BlankTegn)</f>
        <v>.</v>
      </c>
      <c r="AS83" s="315" t="str">
        <f>IFERROR(IF(Tidstabel[[#This Row],[År]]&gt;Input_Tidshorisont,BlankTegn,
-Energibesparelse_Årlig),BlankTegn)</f>
        <v>.</v>
      </c>
      <c r="AT83" s="245" t="str">
        <f>IFERROR(IF(Tidstabel[[#This Row],[År]]&gt;Input_Tidshorisont,BlankTegn,
IF(Tidstabel[[#This Row],[År]]=0,0,-Tidstabel[[#This Row],[KF_Energiforbrug]]*Input_Fjernvarmepris*((1+Tidstabel[[#This Row],[Kalkulationsrente]])^-Tidstabel[[#This Row],[År]])*((1+PrisudviklingFjernvarme)^Tidstabel[[#This Row],[År]]))),BlankTegn)</f>
        <v>.</v>
      </c>
      <c r="AU83" s="262" t="str">
        <f>IFERROR(IF(Tidstabel[[#This Row],[År]]&gt;Input_Tidshorisont,BlankTegn,
IF(Tidstabel[[#This Row],[År]]=0,Tidstabel[[#This Row],[KF_Forsyning]],AU82+Tidstabel[[#This Row],[KF_Forsyning]])),BlankTegn)</f>
        <v>.</v>
      </c>
      <c r="AV83" s="245" t="str">
        <f>IFERROR(IF(Tidstabel[[#This Row],[År]]&gt;Input_Tidshorisont,BlankTegn,
IF(Tidstabel[[#This Row],[År]]=0,-FB_Enhedspris,0)),BlankTegn)</f>
        <v>.</v>
      </c>
      <c r="AW83" s="245" t="str">
        <f>IFERROR(IF(Tidstabel[[#This Row],[År]]&gt;Input_Tidshorisont,BlankTegn,
IF(Tidstabel[[#This Row],[År]]=0,FB_Enhedspris/FB_Levetid,AW82*((1+Tidstabel[[#This Row],[Kalkulationsrente]])^-1)*((1+PrisudviklingGenerelt)^1))),BlankTegn)</f>
        <v>.</v>
      </c>
      <c r="AX83" s="178" t="str">
        <f ca="1">IFERROR(IF(Tidstabel[[#This Row],[År]]&gt;Input_Tidshorisont,BlankTegn,
IF(FB_Vedligehold_i=1,IF(Tidstabel[[#This Row],[FB_Uds?]]=0,1,0),IF(MAX(AX82:OFFSET(AY82,2-FB_Vedligehold_i,0),Tidstabel[[#This Row],[FB_Uds?]])=0,1,0))),BlankTegn)</f>
        <v>.</v>
      </c>
      <c r="AY83" s="178" t="str">
        <f>IFERROR(IF(Tidstabel[[#This Row],[År]]&gt;Input_Tidshorisont,BlankTegn,
IF(Tidstabel[[#This Row],[År]]=0,1,IF(MOD(Tidstabel[[#This Row],[År]],FB_Levetid)=0,1,IF(Tidstabel[[#This Row],[År]]=Input_Tidshorisont,0,0)))),BlankTegn)</f>
        <v>.</v>
      </c>
      <c r="AZ83" s="245" t="str">
        <f>IFERROR(IF(Tidstabel[[#This Row],[År]]&gt;Input_Tidshorisont,BlankTegn,
FB_Vedligehold_p*-FB_Enhedspris*Tidstabel[[#This Row],[FB_Ved?]]*((1+Tidstabel[[#This Row],[Kalkulationsrente]])^-Tidstabel[[#This Row],[År]])*((1+PrisudviklingGenerelt)^Tidstabel[[#This Row],[År]])),BlankTegn)</f>
        <v>.</v>
      </c>
      <c r="BA83" s="245" t="str">
        <f>IFERROR(IF(Tidstabel[[#This Row],[År]]&gt;Input_Tidshorisont,BlankTegn,
IF(Tidstabel[[#This Row],[År]]=0,FB_Enhedspris,SUM(BA82:BB82)*((1+Tidstabel[[#This Row],[Kalkulationsrente]])^-1)*((1+PrisudviklingGenerelt)^1)-Tidstabel[[#This Row],[FB_Afskrivning]])),BlankTegn)</f>
        <v>.</v>
      </c>
      <c r="BB83" s="245" t="str">
        <f>IFERROR(IF(Tidstabel[[#This Row],[År]]&gt;Input_Tidshorisont,BlankTegn,
IF(Tidstabel[[#This Row],[År]]=0,0,Tidstabel[[#This Row],[FB_Uds?]]*FB_Enhedspris*((1+Tidstabel[[#This Row],[Kalkulationsrente]])^-Tidstabel[[#This Row],[År]])*((1+PrisudviklingGenerelt)^Tidstabel[[#This Row],[År]]))),BlankTegn)</f>
        <v>.</v>
      </c>
      <c r="BC83" s="262" t="str">
        <f>IFERROR(IF(Tidstabel[[#This Row],[År]]&gt;Input_Tidshorisont,BlankTegn,
IF(Tidstabel[[#This Row],[År]]=0,0,Tidstabel[[#This Row],[FB_Uds?]]*-FB_Enhedspris*FB_Genoprettelse*((1+Tidstabel[[#This Row],[Kalkulationsrente]])^-Tidstabel[[#This Row],[År]])*((1+PrisudviklingGenerelt)^Tidstabel[[#This Row],[År]]))),BlankTegn)</f>
        <v>.</v>
      </c>
      <c r="BD83" s="245" t="str">
        <f>IFERROR(IF(Tidstabel[[#This Row],[År]]&gt;Input_Tidshorisont,BlankTegn,
IF(Tidstabel[[#This Row],[År]]=0,-VS_Enhedspris,0)),BlankTegn)</f>
        <v>.</v>
      </c>
      <c r="BE83" s="245" t="str">
        <f>IFERROR(IF(Tidstabel[[#This Row],[År]]&gt;Input_Tidshorisont,BlankTegn,
IF(Tidstabel[[#This Row],[År]]=0,VS_Enhedspris/VS_Levetid,BE82*((1+Tidstabel[[#This Row],[Kalkulationsrente]])^-1)*((1+PrisudviklingGenerelt)^1))),BlankTegn)</f>
        <v>.</v>
      </c>
      <c r="BF83" s="178" t="str">
        <f ca="1">IFERROR(IF(Tidstabel[[#This Row],[År]]&gt;Input_Tidshorisont,BlankTegn,
IF(VS_Vedligehold_i=1,IF(Tidstabel[[#This Row],[VS_Uds?]]=0,1,0),IF(MAX(BF82:OFFSET(BG82,2-VS_Vedligehold_i,0),Tidstabel[[#This Row],[VS_Uds?]])=0,1,0))),BlankTegn)</f>
        <v>.</v>
      </c>
      <c r="BG83" s="178" t="str">
        <f>IFERROR(IF(Tidstabel[[#This Row],[År]]&gt;Input_Tidshorisont,BlankTegn,
IF(Tidstabel[[#This Row],[År]]=0,1,IF(MOD(Tidstabel[[#This Row],[År]],VS_Levetid)=0,1,IF(Tidstabel[[#This Row],[År]]=Input_Tidshorisont,0,0)))),BlankTegn)</f>
        <v>.</v>
      </c>
      <c r="BH83" s="245" t="str">
        <f>IFERROR(IF(Tidstabel[[#This Row],[År]]&gt;Input_Tidshorisont,BlankTegn,
VS_Vedligehold_p*-VS_Enhedspris*Tidstabel[[#This Row],[VS_Ved?]]*((1+Tidstabel[[#This Row],[Kalkulationsrente]])^-Tidstabel[[#This Row],[År]])*((1+PrisudviklingGenerelt)^Tidstabel[[#This Row],[År]])),BlankTegn)</f>
        <v>.</v>
      </c>
      <c r="BI83" s="245" t="str">
        <f>IFERROR(IF(Tidstabel[[#This Row],[År]]&gt;Input_Tidshorisont,BlankTegn,
IF(Tidstabel[[#This Row],[År]]=0,VS_Enhedspris,SUM(BI82:BJ82)*((1+Tidstabel[[#This Row],[Kalkulationsrente]])^-1)*((1+PrisudviklingGenerelt)^1)-Tidstabel[[#This Row],[VS_Afskrivning]])),BlankTegn)</f>
        <v>.</v>
      </c>
      <c r="BJ83" s="245" t="str">
        <f>IFERROR(IF(Tidstabel[[#This Row],[År]]&gt;Input_Tidshorisont,BlankTegn,
IF(Tidstabel[[#This Row],[År]]=0,0,Tidstabel[[#This Row],[VS_Uds?]]*VS_Enhedspris*((1+Tidstabel[[#This Row],[Kalkulationsrente]])^-Tidstabel[[#This Row],[År]])*((1+PrisudviklingGenerelt)^Tidstabel[[#This Row],[År]]))),BlankTegn)</f>
        <v>.</v>
      </c>
      <c r="BK83" s="262" t="str">
        <f>IFERROR(IF(Tidstabel[[#This Row],[År]]&gt;Input_Tidshorisont,BlankTegn,
IF(Tidstabel[[#This Row],[År]]=0,0,Tidstabel[[#This Row],[VS_Uds?]]*-VS_Enhedspris*VS_Genoprettelse*((1+Tidstabel[[#This Row],[Kalkulationsrente]])^-Tidstabel[[#This Row],[År]])*((1+PrisudviklingGenerelt)^Tidstabel[[#This Row],[År]]))),BlankTegn)</f>
        <v>.</v>
      </c>
      <c r="BL83" s="245" t="str">
        <f>IFERROR(IF(Tidstabel[[#This Row],[År]]&gt;Input_Tidshorisont,BlankTegn,
IF(Tidstabel[[#This Row],[År]]=0,-EI_Enhedspris,0)),BlankTegn)</f>
        <v>.</v>
      </c>
      <c r="BM83" s="245" t="str">
        <f>IFERROR(IF(Tidstabel[[#This Row],[År]]&gt;Input_Tidshorisont,BlankTegn,
IF(Tidstabel[[#This Row],[År]]=0,EI_Enhedspris/EI_Levetid,BM82*((1+Tidstabel[[#This Row],[Kalkulationsrente]])^-1)*((1+PrisudviklingGenerelt)^1))),BlankTegn)</f>
        <v>.</v>
      </c>
      <c r="BN83" s="178" t="str">
        <f ca="1">IFERROR(IF(Tidstabel[[#This Row],[År]]&gt;Input_Tidshorisont,BlankTegn,
IF(EI_Vedligehold_i=1,IF(Tidstabel[[#This Row],[EI_Uds?]]=0,1,0),IF(MAX(BN82:OFFSET(BO82,2-EI_Vedligehold_i,0),Tidstabel[[#This Row],[EI_Uds?]])=0,1,0))),BlankTegn)</f>
        <v>.</v>
      </c>
      <c r="BO83" s="178" t="str">
        <f>IFERROR(IF(Tidstabel[[#This Row],[År]]&gt;Input_Tidshorisont,BlankTegn,
IF(Tidstabel[[#This Row],[År]]=0,1,IF(MOD(Tidstabel[[#This Row],[År]],EI_Levetid)=0,1,IF(Tidstabel[[#This Row],[År]]=Input_Tidshorisont,0,0)))),BlankTegn)</f>
        <v>.</v>
      </c>
      <c r="BP83" s="245" t="str">
        <f>IFERROR(IF(Tidstabel[[#This Row],[År]]&gt;Input_Tidshorisont,BlankTegn,
EI_Vedligehold_p*-EI_Enhedspris*Tidstabel[[#This Row],[EI_Ved?]]*((1+Tidstabel[[#This Row],[Kalkulationsrente]])^-Tidstabel[[#This Row],[År]])*((1+PrisudviklingGenerelt)^Tidstabel[[#This Row],[År]])),BlankTegn)</f>
        <v>.</v>
      </c>
      <c r="BQ83" s="245" t="str">
        <f>IFERROR(IF(Tidstabel[[#This Row],[År]]&gt;Input_Tidshorisont,BlankTegn,
IF(Tidstabel[[#This Row],[År]]=0,EI_Enhedspris,SUM(BQ82:BR82)*((1+Tidstabel[[#This Row],[Kalkulationsrente]])^-1)*((1+PrisudviklingGenerelt)^1)-Tidstabel[[#This Row],[EI_Afskrivning]])),BlankTegn)</f>
        <v>.</v>
      </c>
      <c r="BR83" s="245" t="str">
        <f>IFERROR(IF(Tidstabel[[#This Row],[År]]&gt;Input_Tidshorisont,BlankTegn,
IF(Tidstabel[[#This Row],[År]]=0,0,Tidstabel[[#This Row],[EI_Uds?]]*EI_Enhedspris*((1+Tidstabel[[#This Row],[Kalkulationsrente]])^-Tidstabel[[#This Row],[År]])*((1+PrisudviklingGenerelt)^Tidstabel[[#This Row],[År]]))),BlankTegn)</f>
        <v>.</v>
      </c>
      <c r="BS83" s="262" t="str">
        <f>IFERROR(IF(Tidstabel[[#This Row],[År]]&gt;Input_Tidshorisont,BlankTegn,
IF(Tidstabel[[#This Row],[År]]=0,0,Tidstabel[[#This Row],[EI_Uds?]]*-EI_Enhedspris*EI_Genoprettelse*((1+Tidstabel[[#This Row],[Kalkulationsrente]])^-Tidstabel[[#This Row],[År]])*((1+PrisudviklingGenerelt)^Tidstabel[[#This Row],[År]]))),BlankTegn)</f>
        <v>.</v>
      </c>
      <c r="BT83" s="245" t="str">
        <f>IFERROR(IF(Tidstabel[[#This Row],[År]]&gt;Input_Tidshorisont,BlankTegn,
IF(Tidstabel[[#This Row],[År]]=0,-AP_Enhedspris,0)),BlankTegn)</f>
        <v>.</v>
      </c>
      <c r="BU83" s="245" t="str">
        <f>IFERROR(IF(Tidstabel[[#This Row],[År]]&gt;Input_Tidshorisont,BlankTegn,
IF(Tidstabel[[#This Row],[År]]=0,AP_Enhedspris/AP_Levetid,BU82*((1+Tidstabel[[#This Row],[Kalkulationsrente]])^-1)*((1+PrisudviklingGenerelt)^1))),BlankTegn)</f>
        <v>.</v>
      </c>
      <c r="BV83" s="178" t="str">
        <f ca="1">IFERROR(IF(Tidstabel[[#This Row],[År]]&gt;Input_Tidshorisont,BlankTegn,
IF(AP_Vedligehold_i=1,IF(Tidstabel[[#This Row],[AP_Uds?]]=0,1,0),IF(MAX(BV82:OFFSET(BW82,2-AP_Vedligehold_i,0),Tidstabel[[#This Row],[AP_Uds?]])=0,1,0))),BlankTegn)</f>
        <v>.</v>
      </c>
      <c r="BW83" s="178" t="str">
        <f>IFERROR(IF(Tidstabel[[#This Row],[År]]&gt;Input_Tidshorisont,BlankTegn,
IF(Tidstabel[[#This Row],[År]]=0,1,IF(MOD(Tidstabel[[#This Row],[År]],AP_Levetid)=0,1,IF(Tidstabel[[#This Row],[År]]=Input_Tidshorisont,0,0)))),BlankTegn)</f>
        <v>.</v>
      </c>
      <c r="BX83" s="245" t="str">
        <f>IFERROR(IF(Tidstabel[[#This Row],[År]]&gt;Input_Tidshorisont,BlankTegn,
AP_Vedligehold_p*-AP_Enhedspris*Tidstabel[[#This Row],[AP_Ved?]]*((1+Tidstabel[[#This Row],[Kalkulationsrente]])^-Tidstabel[[#This Row],[År]])*((1+PrisudviklingGenerelt)^Tidstabel[[#This Row],[År]])),BlankTegn)</f>
        <v>.</v>
      </c>
      <c r="BY83" s="245" t="str">
        <f>IFERROR(IF(Tidstabel[[#This Row],[År]]&gt;Input_Tidshorisont,BlankTegn,
IF(Tidstabel[[#This Row],[År]]=0,AP_Enhedspris,SUM(BY82:BZ82)*((1+Tidstabel[[#This Row],[Kalkulationsrente]])^-1)*((1+PrisudviklingGenerelt)^1)-Tidstabel[[#This Row],[AP_Afskrivning]])),BlankTegn)</f>
        <v>.</v>
      </c>
      <c r="BZ83" s="245" t="str">
        <f>IFERROR(IF(Tidstabel[[#This Row],[År]]&gt;Input_Tidshorisont,BlankTegn,
IF(Tidstabel[[#This Row],[År]]=0,0,Tidstabel[[#This Row],[AP_Uds?]]*AP_Enhedspris*((1+Tidstabel[[#This Row],[Kalkulationsrente]])^-Tidstabel[[#This Row],[År]])*((1+PrisudviklingGenerelt)^Tidstabel[[#This Row],[År]]))),BlankTegn)</f>
        <v>.</v>
      </c>
      <c r="CA83" s="262" t="str">
        <f>IFERROR(IF(Tidstabel[[#This Row],[År]]&gt;Input_Tidshorisont,BlankTegn,
IF(Tidstabel[[#This Row],[År]]=0,0,Tidstabel[[#This Row],[AP_Uds?]]*-AP_Enhedspris*AP_Genoprettelse*((1+Tidstabel[[#This Row],[Kalkulationsrente]])^-Tidstabel[[#This Row],[År]])*((1+PrisudviklingGenerelt)^Tidstabel[[#This Row],[År]]))),BlankTegn)</f>
        <v>.</v>
      </c>
      <c r="CB83" s="245" t="str">
        <f>IFERROR(IF(Tidstabel[[#This Row],[År]]&gt;Input_Tidshorisont,BlankTegn,
IF(Tidstabel[[#This Row],[År]]=0,-SK_Enhedspris,0)),BlankTegn)</f>
        <v>.</v>
      </c>
      <c r="CC83" s="245" t="str">
        <f>IFERROR(IF(Tidstabel[[#This Row],[År]]&gt;Input_Tidshorisont,BlankTegn,
IF(Tidstabel[[#This Row],[År]]=0,SK_Enhedspris/SK_Levetid,CC82*((1+Tidstabel[[#This Row],[Kalkulationsrente]])^-1)*((1+PrisudviklingGenerelt)^1))),BlankTegn)</f>
        <v>.</v>
      </c>
      <c r="CD83" s="178" t="str">
        <f ca="1">IFERROR(IF(Tidstabel[[#This Row],[År]]&gt;Input_Tidshorisont,BlankTegn,
IF(SK_Vedligehold_i=1,IF(Tidstabel[[#This Row],[SK_Uds?]]=0,1,0),IF(MAX(CD82:OFFSET(CE82,2-SK_Vedligehold_i,0),Tidstabel[[#This Row],[SK_Uds?]])=0,1,0))),BlankTegn)</f>
        <v>.</v>
      </c>
      <c r="CE83" s="178" t="str">
        <f>IFERROR(IF(Tidstabel[[#This Row],[År]]&gt;Input_Tidshorisont,BlankTegn,
IF(Tidstabel[[#This Row],[År]]=0,1,IF(MOD(Tidstabel[[#This Row],[År]],SK_Levetid)=0,1,IF(Tidstabel[[#This Row],[År]]=Input_Tidshorisont,0,0)))),BlankTegn)</f>
        <v>.</v>
      </c>
      <c r="CF83" s="245" t="str">
        <f>IFERROR(IF(Tidstabel[[#This Row],[År]]&gt;Input_Tidshorisont,BlankTegn,
SK_Vedligehold_p*-SK_Enhedspris*Tidstabel[[#This Row],[SK_Ved?]]*((1+Tidstabel[[#This Row],[Kalkulationsrente]])^-Tidstabel[[#This Row],[År]])*((1+PrisudviklingGenerelt)^Tidstabel[[#This Row],[År]])),BlankTegn)</f>
        <v>.</v>
      </c>
      <c r="CG83" s="245" t="str">
        <f>IFERROR(IF(Tidstabel[[#This Row],[År]]&gt;Input_Tidshorisont,BlankTegn,
IF(Tidstabel[[#This Row],[År]]=0,SK_Enhedspris,SUM(CG82:CH82)*((1+Tidstabel[[#This Row],[Kalkulationsrente]])^-1)*((1+PrisudviklingGenerelt)^1)-Tidstabel[[#This Row],[SK_Afskrivning]])),BlankTegn)</f>
        <v>.</v>
      </c>
      <c r="CH83" s="245" t="str">
        <f>IFERROR(IF(Tidstabel[[#This Row],[År]]&gt;Input_Tidshorisont,BlankTegn,
IF(Tidstabel[[#This Row],[År]]=0,0,Tidstabel[[#This Row],[SK_Uds?]]*SK_Enhedspris*((1+Tidstabel[[#This Row],[Kalkulationsrente]])^-Tidstabel[[#This Row],[År]])*((1+PrisudviklingGenerelt)^Tidstabel[[#This Row],[År]]))),BlankTegn)</f>
        <v>.</v>
      </c>
      <c r="CI83" s="262" t="str">
        <f>IFERROR(IF(Tidstabel[[#This Row],[År]]&gt;Input_Tidshorisont,BlankTegn,
IF(Tidstabel[[#This Row],[År]]=0,0,Tidstabel[[#This Row],[SK_Uds?]]*-SK_Enhedspris*SK_Genoprettelse*((1+Tidstabel[[#This Row],[Kalkulationsrente]])^-Tidstabel[[#This Row],[År]])*((1+PrisudviklingGenerelt)^Tidstabel[[#This Row],[År]]))),BlankTegn)</f>
        <v>.</v>
      </c>
      <c r="CJ83" s="19"/>
    </row>
    <row r="84" spans="1:88">
      <c r="A84" s="250">
        <v>77</v>
      </c>
      <c r="B84" s="250">
        <f>Input_Etableringsår+Tidstabel[[#This Row],[År]]</f>
        <v>2101</v>
      </c>
      <c r="C84" s="274" cm="1">
        <f t="array" ref="C84">_xlfn.IFS(Tidstabel[[#This Row],[År]]&gt;KR_Trin3_Tærskel,KR_Trin3_Rente,Tidstabel[[#This Row],[År]]&gt;KR_Trin2_Tærskel,KR_Trin2_Rente,Tidstabel[[#This Row],[År]]&gt;KR_Trin1_Tærskel,KR_Trin1_Rente,Tidstabel[[#This Row],[År]]&gt;KR_Trin0_Tærskel,KR_Trin0_Rente)</f>
        <v>1.4999999999999999E-2</v>
      </c>
      <c r="D84" s="142" t="str" cm="1">
        <f t="array" ref="D84">IFERROR(
INDEX(Range_Materiale_ÅrligeEmissioner,MATCH(1,(Materialedata[Komponent]=FB_Titel)*(Materialedata[Materiale]=FB_Materiale),0),MATCH(Tidstabel[[#This Row],[År]],Range_Materiale_År,0)),BlankTegn)</f>
        <v>.</v>
      </c>
      <c r="E84" s="142" t="str" cm="1">
        <f t="array" ref="E84">IFERROR(
INDEX(Range_Materiale_ÅrligeEmissioner,MATCH(1,(Materialedata[Komponent]=SK_Titel)*(Materialedata[Materiale]=SK_Materiale),0),MATCH(Tidstabel[[#This Row],[År]],Range_Materiale_År,0)),BlankTegn)</f>
        <v>.</v>
      </c>
      <c r="F84" s="142" t="str" cm="1">
        <f t="array" ref="F84">IFERROR(
INDEX(Range_Materiale_ÅrligeEmissioner,MATCH(1,(Materialedata[Komponent]=EI_Titel)*(Materialedata[Materiale]=EI_Materiale),0),MATCH(Tidstabel[[#This Row],[År]],Range_Materiale_År,0)),BlankTegn)</f>
        <v>.</v>
      </c>
      <c r="G84" s="142" t="str" cm="1">
        <f t="array" ref="G84">IFERROR(
INDEX(Range_Materiale_ÅrligeEmissioner,MATCH(1,(Materialedata[Komponent]=AP_Titel)*(Materialedata[Materiale]=AP_Materiale),0),MATCH(Tidstabel[[#This Row],[År]],Range_Materiale_År,0)),BlankTegn)</f>
        <v>.</v>
      </c>
      <c r="H84" s="142" t="str" cm="1">
        <f t="array" ref="H84">IFERROR(
INDEX(Range_Materiale_ÅrligeEmissioner,MATCH(1,(Materialedata[Komponent]=VS_Titel)*(Materialedata[Materiale]=VS_Materiale),0),MATCH(Tidstabel[[#This Row],[År]],Range_Materiale_År,0)),BlankTegn)</f>
        <v>.</v>
      </c>
      <c r="I84" s="142" t="str">
        <f>IFERROR(
IF(SUM(Tidstabel[[#This Row],[Facadebeklædning]:[Vindspærre]])=0,BlankTegn,
SUM(Tidstabel[[#This Row],[Facadebeklædning]:[Vindspærre]])),BlankTegn)</f>
        <v>.</v>
      </c>
      <c r="J84" s="139" t="str">
        <f>IF(Tidstabel[[#This Row],[År]]&gt;Input_Tidshorisont,BlankTegn,
A5_ElVarmeBrændstofByggeplads)</f>
        <v>.</v>
      </c>
      <c r="K84" s="142" t="str">
        <f>IFERROR(IF(Tidstabel[[#This Row],[År]]&gt;Input_Tidshorisont,BlankTegn,
-1*INDEX(Range_Energi_ÅrligBesparelse,MATCH(Input_EksisterendeFacade,Energiberegning[Ydervæg],0),MATCH(Tidstabel[[#This Row],[Årstal]],Range_Energi_Årstal,0))),BlankTegn)</f>
        <v>.</v>
      </c>
      <c r="L84" s="142" t="str">
        <f>IF(Tidstabel[[#This Row],[År]]&gt;Input_Tidshorisont,BlankTegn,
(Tidstabel[[#This Row],[År]]+1)*(SUM(Vedligeholdelsesmaterialer[Facadefarve],Vedligeholdelsesmaterialer[Grunder og mellemmaling])/12+SUM(Vedligeholdelsesmaterialer[Puds])/30))</f>
        <v>.</v>
      </c>
      <c r="M84" s="142" t="str">
        <f>IFERROR(IF(Tidstabel[[#This Row],[År]]&gt;Input_Tidshorisont,BlankTegn,
Tidstabel[[#This Row],[Materialer_Total]]+Tidstabel[[#This Row],[Byggeprocess]]),BlankTegn)</f>
        <v>.</v>
      </c>
      <c r="N84" s="142" t="str">
        <f>IFERROR(IF(Tidstabel[[#This Row],[År]]&gt;Input_Tidshorisont,BlankTegn,
Tidstabel[[#This Row],[Energibesparelse]]+Tidstabel[[#This Row],[Emission_Brutto]]),BlankTegn)</f>
        <v>.</v>
      </c>
      <c r="O84" s="142" t="str">
        <f>IFERROR(IF(Tidstabel[[#This Row],[År]]&gt;Input_Tidshorisont,BlankTegn,
Tidstabel[[#This Row],[Emission_Netto]]-Tidstabel[[#This Row],[Vedligehold_EksisterendeFacade]]),BlankTegn)</f>
        <v>.</v>
      </c>
      <c r="P84" s="271" t="str">
        <f>IFERROR(IF(Tidstabel[[#This Row],[År]]&gt;Input_Tidshorisont,BlankTegn,
IF(AND(Tidstabel[[#This Row],[Emission_Netto]]-Tidstabel[[#This Row],[Vedligehold_EksisterendeFacade]]&gt;0,N85-L85&lt;0),-1,IF(AND(Tidstabel[[#This Row],[Emission_Netto]]-Tidstabel[[#This Row],[Vedligehold_EksisterendeFacade]]&lt;0,N85-L85&gt;0),1,0))),BlankTegn)</f>
        <v>.</v>
      </c>
      <c r="Q84" s="174" t="str">
        <f>IF(Tidstabel[[#This Row],[År]]&gt;Input_Tidshorisont,BlankTegn,
IF(Tidstabel[[#This Row],[LCA-Skæring]]=-1,SUM(Tidstabel[[#This Row],[År]]*(1-ABS(Tidstabel[[#This Row],[LCA-Difference]])/(ABS(Tidstabel[[#This Row],[LCA-Difference]])+ABS(O85))),A85*(1-ABS(O85)/(ABS(Tidstabel[[#This Row],[LCA-Difference]])+ABS(O85)))),"-"))</f>
        <v>.</v>
      </c>
      <c r="R84" s="174" t="str">
        <f>IF(Tidstabel[[#This Row],[År]]&gt;Input_Tidshorisont,BlankTegn,
IF(Tidstabel[[#This Row],[LCA-Skæring]]=-1,SUM(Tidstabel[[#This Row],[Emission_Netto]]*(1-ABS(Tidstabel[[#This Row],[LCA-Difference]])/(ABS(Tidstabel[[#This Row],[LCA-Difference]])+ABS(O85))),N85*(1-ABS(O85)/(ABS(Tidstabel[[#This Row],[LCA-Difference]])+ABS(O85)))),"-"))</f>
        <v>.</v>
      </c>
      <c r="S84" s="174" t="str">
        <f>IF(Tidstabel[[#This Row],[År]]&gt;Input_Tidshorisont,BlankTegn,
IF(Tidstabel[[#This Row],[LCA-Skæring]]=1,SUM(Tidstabel[[#This Row],[År]]*(1-ABS(Tidstabel[[#This Row],[LCA-Difference]])/(ABS(Tidstabel[[#This Row],[LCA-Difference]])+ABS(O85))),A85*(1-ABS(O85)/(ABS(Tidstabel[[#This Row],[LCA-Difference]])+ABS(O85)))),"-"))</f>
        <v>.</v>
      </c>
      <c r="T84" s="264" t="str">
        <f>IF(Tidstabel[[#This Row],[År]]&gt;Input_Tidshorisont,BlankTegn,
IF(Tidstabel[[#This Row],[LCA-Skæring]]=1,SUM(Tidstabel[[#This Row],[Emission_Netto]]*(1-ABS(Tidstabel[[#This Row],[LCA-Difference]])/(ABS(Tidstabel[[#This Row],[LCA-Difference]])+ABS(O85))),N85*(1-ABS(O85)/(ABS(Tidstabel[[#This Row],[LCA-Difference]])+ABS(O85)))),"-"))</f>
        <v>.</v>
      </c>
      <c r="U84" s="142" t="str">
        <f>IFERROR(IF(Tidstabel[[#This Row],[År]]&gt;Input_Tidshorisont,BlankTegn,
Tidstabel[[#This Row],[NPV_Klimafacade]]-Tidstabel[[#This Row],[NPV_Eksisterende]]),BlankTegn)</f>
        <v>.</v>
      </c>
      <c r="V84" s="271" t="str">
        <f>IFERROR(IF(Tidstabel[[#This Row],[År]]&gt;Input_Tidshorisont,BlankTegn,
IF(AND(Tidstabel[[#This Row],[NPV_Klimafacade]]-Tidstabel[[#This Row],[NPV_Eksisterende]]&gt;0,AB85-AA85&lt;0),1,IF(AND(Tidstabel[[#This Row],[NPV_Klimafacade]]-Tidstabel[[#This Row],[NPV_Eksisterende]]&lt;0,AB85-AA85&gt;0),-1,0))),BlankTegn)</f>
        <v>.</v>
      </c>
      <c r="W84" s="174" t="str">
        <f>IF(Tidstabel[[#This Row],[År]]&gt;Input_Tidshorisont,BlankTegn,
IF(Tidstabel[[#This Row],[LCC-Skæring]]=-1,SUM(Tidstabel[[#This Row],[År]]*(1-ABS(Tidstabel[[#This Row],[LCC-Difference]])/(ABS(Tidstabel[[#This Row],[LCC-Difference]])+ABS(U85))),A85*(1-ABS(U85)/(ABS(Tidstabel[[#This Row],[LCC-Difference]])+ABS(U85)))),"-"))</f>
        <v>.</v>
      </c>
      <c r="X84" s="174" t="str">
        <f>IF(Tidstabel[[#This Row],[År]]&gt;Input_Tidshorisont,BlankTegn,
IF(Tidstabel[[#This Row],[LCC-Skæring]]=-1,SUM(Tidstabel[[#This Row],[NPV_Klimafacade]]*(1-ABS(Tidstabel[[#This Row],[LCC-Difference]])/(ABS(Tidstabel[[#This Row],[LCC-Difference]])+ABS(U85))),AB85*(1-ABS(U85)/(ABS(Tidstabel[[#This Row],[LCC-Difference]])+ABS(U85)))),"-"))</f>
        <v>.</v>
      </c>
      <c r="Y84" s="174" t="str">
        <f>IF(Tidstabel[[#This Row],[År]]&gt;Input_Tidshorisont,BlankTegn,
IF(Tidstabel[[#This Row],[LCC-Skæring]]=1,SUM(Tidstabel[[#This Row],[År]]*(1-ABS(Tidstabel[[#This Row],[LCC-Difference]])/(ABS(Tidstabel[[#This Row],[LCC-Difference]])+ABS(U85))),A85*(1-ABS(U85)/(ABS(Tidstabel[[#This Row],[LCC-Difference]])+ABS(U85)))),"-"))</f>
        <v>.</v>
      </c>
      <c r="Z84" s="264" t="str">
        <f>IF(Tidstabel[[#This Row],[År]]&gt;Input_Tidshorisont,BlankTegn,
IF(Tidstabel[[#This Row],[LCC-Skæring]]=1,SUM(Tidstabel[[#This Row],[NPV_Klimafacade]]*(1-ABS(Tidstabel[[#This Row],[LCC-Difference]])/(ABS(Tidstabel[[#This Row],[LCC-Difference]])+ABS(U85))),AB85*(1-ABS(U85)/(ABS(Tidstabel[[#This Row],[LCC-Difference]])+ABS(U85)))),"-"))</f>
        <v>.</v>
      </c>
      <c r="AA84" s="142" t="str">
        <f>IF(Tidstabel[[#This Row],[År]]&gt;Input_Tidshorisont,BlankTegn,
Tidstabel[[#This Row],[EF_Vedligehold_Aggregeret]])</f>
        <v>.</v>
      </c>
      <c r="AB84"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84" s="142" t="str">
        <f>IFERROR(IF(Tidstabel[[#This Row],[År]]&gt;Input_Tidshorisont,BlankTegn,
Tidstabel[[#This Row],[KF_Anskaffelse_Aggregeret]]+Tidstabel[[#This Row],[KF_Engangsudgifter_Aggregeret]]),BlankTegn)</f>
        <v>.</v>
      </c>
      <c r="AD84" s="174" t="str">
        <f>IFERROR(IF(Tidstabel[[#This Row],[År]]&gt;Input_Tidshorisont,BlankTegn,
IF(Tidstabel[[#This Row],[År]]=0,0,Tidstabel[[#This Row],[NPV_Eksisterende]]*(Tidstabel[[#This Row],[Kalkulationsrente]]/(1-(1+Tidstabel[[#This Row],[Kalkulationsrente]])^-Tidstabel[[#This Row],[År]])))),BlankTegn)</f>
        <v>.</v>
      </c>
      <c r="AE84" s="264" t="str">
        <f>IFERROR(IF(Tidstabel[[#This Row],[År]]&gt;Input_Tidshorisont,BlankTegn,
IF(Tidstabel[[#This Row],[År]]=0,0,Tidstabel[[#This Row],[NPV_Klimafacade]]*(Tidstabel[[#This Row],[Kalkulationsrente]]/(1-(1+Tidstabel[[#This Row],[Kalkulationsrente]])^-Tidstabel[[#This Row],[År]])))),BlankTegn)</f>
        <v>.</v>
      </c>
      <c r="AF84" s="270" t="str">
        <f ca="1">IF(Tidstabel[[#This Row],[År]]&gt;Input_Tidshorisont,BlankTegn,
IF(EF_Vedligehold_i=1,IF(Tidstabel[[#This Row],[EF_Uds?]]=0,1,0),IF(MAX(AF83:OFFSET(AG83,2-EF_Vedligehold_i,0),Tidstabel[[#This Row],[EF_Uds?]])=0,1,0)))</f>
        <v>.</v>
      </c>
      <c r="AG84" s="181" t="str">
        <f>IF(Tidstabel[[#This Row],[År]]&gt;Input_Tidshorisont,BlankTegn,0)</f>
        <v>.</v>
      </c>
      <c r="AH84" s="263" t="str">
        <f>IF(Tidstabel[[#This Row],[År]]&gt;Input_Tidshorisont,BlankTegn,
Tidstabel[[#This Row],[EF_Ved?]]*EF_Vedligehold_p*-EF_Enhedspris*((1+Tidstabel[[#This Row],[Kalkulationsrente]])^-Tidstabel[[#This Row],[År]])*((1+PrisudviklingGenerelt)^Tidstabel[[#This Row],[År]]))</f>
        <v>.</v>
      </c>
      <c r="AI84" s="262" t="str">
        <f>IF(Tidstabel[[#This Row],[År]]&gt;Input_Tidshorisont,BlankTegn,
IF(Tidstabel[[#This Row],[År]]=0,Tidstabel[[#This Row],[EF_Vedligehold]],AI83+Tidstabel[[#This Row],[EF_Vedligehold]]))</f>
        <v>.</v>
      </c>
      <c r="AJ84" s="245" t="str">
        <f>IFERROR(IF(Tidstabel[[#This Row],[År]]&gt;Input_Tidshorisont,BlankTegn,
Tidstabel[[#This Row],[FB_Anskaffelse]]+Tidstabel[[#This Row],[VS_Anskaffelse]]+Tidstabel[[#This Row],[EI_Anskaffelse]]+Tidstabel[[#This Row],[AP_Anskaffelse]]+Tidstabel[[#This Row],[SK_Anskaffelse]]),BlankTegn)</f>
        <v>.</v>
      </c>
      <c r="AK84" s="245" t="str">
        <f>IFERROR(IF(Tidstabel[[#This Row],[År]]&gt;Input_Tidshorisont,BlankTegn,
IF(Tidstabel[[#This Row],[År]]=0,Tidstabel[[#This Row],[KF_Anskaffelse]],AK83+Tidstabel[[#This Row],[KF_Anskaffelse]])),BlankTegn)</f>
        <v>.</v>
      </c>
      <c r="AL84" s="246" t="str">
        <f>IFERROR(IF(Tidstabel[[#This Row],[År]]&gt;Input_Tidshorisont,BlankTegn,
Tidstabel[[#This Row],[FB_Vedligehold]]+Tidstabel[[#This Row],[VS_Vedligehold]]+Tidstabel[[#This Row],[EI_Vedligehold]]+Tidstabel[[#This Row],[AP_Vedligehold]]+Tidstabel[[#This Row],[SK_Vedligehold]]),BlankTegn)</f>
        <v>.</v>
      </c>
      <c r="AM84" s="245" t="str">
        <f>IFERROR(IF(Tidstabel[[#This Row],[År]]&gt;Input_Tidshorisont,BlankTegn,
IF(Tidstabel[[#This Row],[År]]=0,Tidstabel[[#This Row],[KF_Vedligehold]],AM83+Tidstabel[[#This Row],[KF_Vedligehold]])),BlankTegn)</f>
        <v>.</v>
      </c>
      <c r="AN84"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84"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84" s="245" t="str">
        <f>IFERROR(IF(Tidstabel[[#This Row],[År]]&gt;Input_Tidshorisont,BlankTegn,
IF(Tidstabel[[#This Row],[År]]=0,Tidstabel[[#This Row],[KF_Udskiftning_Komponent]],AP83+Tidstabel[[#This Row],[KF_Udskiftning_Komponent]])),BlankTegn)</f>
        <v>.</v>
      </c>
      <c r="AQ84" s="245" t="str">
        <f>IF(Tidstabel[[#This Row],[År]]&gt;Input_Tidshorisont,BlankTegn,
IF(Tidstabel[[#This Row],[År]]=0,-SUM(Engangsudgifter[Udgift]),0))</f>
        <v>.</v>
      </c>
      <c r="AR84" s="245" t="str">
        <f>IFERROR(IF(Tidstabel[[#This Row],[År]]&gt;Input_Tidshorisont,BlankTegn,
IF(Tidstabel[[#This Row],[År]]=0,Tidstabel[[#This Row],[KF_Engangsudgifter]],AR83+Tidstabel[[#This Row],[KF_Engangsudgifter]])),BlankTegn)</f>
        <v>.</v>
      </c>
      <c r="AS84" s="315" t="str">
        <f>IFERROR(IF(Tidstabel[[#This Row],[År]]&gt;Input_Tidshorisont,BlankTegn,
-Energibesparelse_Årlig),BlankTegn)</f>
        <v>.</v>
      </c>
      <c r="AT84" s="245" t="str">
        <f>IFERROR(IF(Tidstabel[[#This Row],[År]]&gt;Input_Tidshorisont,BlankTegn,
IF(Tidstabel[[#This Row],[År]]=0,0,-Tidstabel[[#This Row],[KF_Energiforbrug]]*Input_Fjernvarmepris*((1+Tidstabel[[#This Row],[Kalkulationsrente]])^-Tidstabel[[#This Row],[År]])*((1+PrisudviklingFjernvarme)^Tidstabel[[#This Row],[År]]))),BlankTegn)</f>
        <v>.</v>
      </c>
      <c r="AU84" s="262" t="str">
        <f>IFERROR(IF(Tidstabel[[#This Row],[År]]&gt;Input_Tidshorisont,BlankTegn,
IF(Tidstabel[[#This Row],[År]]=0,Tidstabel[[#This Row],[KF_Forsyning]],AU83+Tidstabel[[#This Row],[KF_Forsyning]])),BlankTegn)</f>
        <v>.</v>
      </c>
      <c r="AV84" s="245" t="str">
        <f>IFERROR(IF(Tidstabel[[#This Row],[År]]&gt;Input_Tidshorisont,BlankTegn,
IF(Tidstabel[[#This Row],[År]]=0,-FB_Enhedspris,0)),BlankTegn)</f>
        <v>.</v>
      </c>
      <c r="AW84" s="245" t="str">
        <f>IFERROR(IF(Tidstabel[[#This Row],[År]]&gt;Input_Tidshorisont,BlankTegn,
IF(Tidstabel[[#This Row],[År]]=0,FB_Enhedspris/FB_Levetid,AW83*((1+Tidstabel[[#This Row],[Kalkulationsrente]])^-1)*((1+PrisudviklingGenerelt)^1))),BlankTegn)</f>
        <v>.</v>
      </c>
      <c r="AX84" s="178" t="str">
        <f ca="1">IFERROR(IF(Tidstabel[[#This Row],[År]]&gt;Input_Tidshorisont,BlankTegn,
IF(FB_Vedligehold_i=1,IF(Tidstabel[[#This Row],[FB_Uds?]]=0,1,0),IF(MAX(AX83:OFFSET(AY83,2-FB_Vedligehold_i,0),Tidstabel[[#This Row],[FB_Uds?]])=0,1,0))),BlankTegn)</f>
        <v>.</v>
      </c>
      <c r="AY84" s="178" t="str">
        <f>IFERROR(IF(Tidstabel[[#This Row],[År]]&gt;Input_Tidshorisont,BlankTegn,
IF(Tidstabel[[#This Row],[År]]=0,1,IF(MOD(Tidstabel[[#This Row],[År]],FB_Levetid)=0,1,IF(Tidstabel[[#This Row],[År]]=Input_Tidshorisont,0,0)))),BlankTegn)</f>
        <v>.</v>
      </c>
      <c r="AZ84" s="245" t="str">
        <f>IFERROR(IF(Tidstabel[[#This Row],[År]]&gt;Input_Tidshorisont,BlankTegn,
FB_Vedligehold_p*-FB_Enhedspris*Tidstabel[[#This Row],[FB_Ved?]]*((1+Tidstabel[[#This Row],[Kalkulationsrente]])^-Tidstabel[[#This Row],[År]])*((1+PrisudviklingGenerelt)^Tidstabel[[#This Row],[År]])),BlankTegn)</f>
        <v>.</v>
      </c>
      <c r="BA84" s="245" t="str">
        <f>IFERROR(IF(Tidstabel[[#This Row],[År]]&gt;Input_Tidshorisont,BlankTegn,
IF(Tidstabel[[#This Row],[År]]=0,FB_Enhedspris,SUM(BA83:BB83)*((1+Tidstabel[[#This Row],[Kalkulationsrente]])^-1)*((1+PrisudviklingGenerelt)^1)-Tidstabel[[#This Row],[FB_Afskrivning]])),BlankTegn)</f>
        <v>.</v>
      </c>
      <c r="BB84" s="245" t="str">
        <f>IFERROR(IF(Tidstabel[[#This Row],[År]]&gt;Input_Tidshorisont,BlankTegn,
IF(Tidstabel[[#This Row],[År]]=0,0,Tidstabel[[#This Row],[FB_Uds?]]*FB_Enhedspris*((1+Tidstabel[[#This Row],[Kalkulationsrente]])^-Tidstabel[[#This Row],[År]])*((1+PrisudviklingGenerelt)^Tidstabel[[#This Row],[År]]))),BlankTegn)</f>
        <v>.</v>
      </c>
      <c r="BC84" s="262" t="str">
        <f>IFERROR(IF(Tidstabel[[#This Row],[År]]&gt;Input_Tidshorisont,BlankTegn,
IF(Tidstabel[[#This Row],[År]]=0,0,Tidstabel[[#This Row],[FB_Uds?]]*-FB_Enhedspris*FB_Genoprettelse*((1+Tidstabel[[#This Row],[Kalkulationsrente]])^-Tidstabel[[#This Row],[År]])*((1+PrisudviklingGenerelt)^Tidstabel[[#This Row],[År]]))),BlankTegn)</f>
        <v>.</v>
      </c>
      <c r="BD84" s="245" t="str">
        <f>IFERROR(IF(Tidstabel[[#This Row],[År]]&gt;Input_Tidshorisont,BlankTegn,
IF(Tidstabel[[#This Row],[År]]=0,-VS_Enhedspris,0)),BlankTegn)</f>
        <v>.</v>
      </c>
      <c r="BE84" s="245" t="str">
        <f>IFERROR(IF(Tidstabel[[#This Row],[År]]&gt;Input_Tidshorisont,BlankTegn,
IF(Tidstabel[[#This Row],[År]]=0,VS_Enhedspris/VS_Levetid,BE83*((1+Tidstabel[[#This Row],[Kalkulationsrente]])^-1)*((1+PrisudviklingGenerelt)^1))),BlankTegn)</f>
        <v>.</v>
      </c>
      <c r="BF84" s="178" t="str">
        <f ca="1">IFERROR(IF(Tidstabel[[#This Row],[År]]&gt;Input_Tidshorisont,BlankTegn,
IF(VS_Vedligehold_i=1,IF(Tidstabel[[#This Row],[VS_Uds?]]=0,1,0),IF(MAX(BF83:OFFSET(BG83,2-VS_Vedligehold_i,0),Tidstabel[[#This Row],[VS_Uds?]])=0,1,0))),BlankTegn)</f>
        <v>.</v>
      </c>
      <c r="BG84" s="178" t="str">
        <f>IFERROR(IF(Tidstabel[[#This Row],[År]]&gt;Input_Tidshorisont,BlankTegn,
IF(Tidstabel[[#This Row],[År]]=0,1,IF(MOD(Tidstabel[[#This Row],[År]],VS_Levetid)=0,1,IF(Tidstabel[[#This Row],[År]]=Input_Tidshorisont,0,0)))),BlankTegn)</f>
        <v>.</v>
      </c>
      <c r="BH84" s="245" t="str">
        <f>IFERROR(IF(Tidstabel[[#This Row],[År]]&gt;Input_Tidshorisont,BlankTegn,
VS_Vedligehold_p*-VS_Enhedspris*Tidstabel[[#This Row],[VS_Ved?]]*((1+Tidstabel[[#This Row],[Kalkulationsrente]])^-Tidstabel[[#This Row],[År]])*((1+PrisudviklingGenerelt)^Tidstabel[[#This Row],[År]])),BlankTegn)</f>
        <v>.</v>
      </c>
      <c r="BI84" s="245" t="str">
        <f>IFERROR(IF(Tidstabel[[#This Row],[År]]&gt;Input_Tidshorisont,BlankTegn,
IF(Tidstabel[[#This Row],[År]]=0,VS_Enhedspris,SUM(BI83:BJ83)*((1+Tidstabel[[#This Row],[Kalkulationsrente]])^-1)*((1+PrisudviklingGenerelt)^1)-Tidstabel[[#This Row],[VS_Afskrivning]])),BlankTegn)</f>
        <v>.</v>
      </c>
      <c r="BJ84" s="245" t="str">
        <f>IFERROR(IF(Tidstabel[[#This Row],[År]]&gt;Input_Tidshorisont,BlankTegn,
IF(Tidstabel[[#This Row],[År]]=0,0,Tidstabel[[#This Row],[VS_Uds?]]*VS_Enhedspris*((1+Tidstabel[[#This Row],[Kalkulationsrente]])^-Tidstabel[[#This Row],[År]])*((1+PrisudviklingGenerelt)^Tidstabel[[#This Row],[År]]))),BlankTegn)</f>
        <v>.</v>
      </c>
      <c r="BK84" s="262" t="str">
        <f>IFERROR(IF(Tidstabel[[#This Row],[År]]&gt;Input_Tidshorisont,BlankTegn,
IF(Tidstabel[[#This Row],[År]]=0,0,Tidstabel[[#This Row],[VS_Uds?]]*-VS_Enhedspris*VS_Genoprettelse*((1+Tidstabel[[#This Row],[Kalkulationsrente]])^-Tidstabel[[#This Row],[År]])*((1+PrisudviklingGenerelt)^Tidstabel[[#This Row],[År]]))),BlankTegn)</f>
        <v>.</v>
      </c>
      <c r="BL84" s="245" t="str">
        <f>IFERROR(IF(Tidstabel[[#This Row],[År]]&gt;Input_Tidshorisont,BlankTegn,
IF(Tidstabel[[#This Row],[År]]=0,-EI_Enhedspris,0)),BlankTegn)</f>
        <v>.</v>
      </c>
      <c r="BM84" s="245" t="str">
        <f>IFERROR(IF(Tidstabel[[#This Row],[År]]&gt;Input_Tidshorisont,BlankTegn,
IF(Tidstabel[[#This Row],[År]]=0,EI_Enhedspris/EI_Levetid,BM83*((1+Tidstabel[[#This Row],[Kalkulationsrente]])^-1)*((1+PrisudviklingGenerelt)^1))),BlankTegn)</f>
        <v>.</v>
      </c>
      <c r="BN84" s="178" t="str">
        <f ca="1">IFERROR(IF(Tidstabel[[#This Row],[År]]&gt;Input_Tidshorisont,BlankTegn,
IF(EI_Vedligehold_i=1,IF(Tidstabel[[#This Row],[EI_Uds?]]=0,1,0),IF(MAX(BN83:OFFSET(BO83,2-EI_Vedligehold_i,0),Tidstabel[[#This Row],[EI_Uds?]])=0,1,0))),BlankTegn)</f>
        <v>.</v>
      </c>
      <c r="BO84" s="178" t="str">
        <f>IFERROR(IF(Tidstabel[[#This Row],[År]]&gt;Input_Tidshorisont,BlankTegn,
IF(Tidstabel[[#This Row],[År]]=0,1,IF(MOD(Tidstabel[[#This Row],[År]],EI_Levetid)=0,1,IF(Tidstabel[[#This Row],[År]]=Input_Tidshorisont,0,0)))),BlankTegn)</f>
        <v>.</v>
      </c>
      <c r="BP84" s="245" t="str">
        <f>IFERROR(IF(Tidstabel[[#This Row],[År]]&gt;Input_Tidshorisont,BlankTegn,
EI_Vedligehold_p*-EI_Enhedspris*Tidstabel[[#This Row],[EI_Ved?]]*((1+Tidstabel[[#This Row],[Kalkulationsrente]])^-Tidstabel[[#This Row],[År]])*((1+PrisudviklingGenerelt)^Tidstabel[[#This Row],[År]])),BlankTegn)</f>
        <v>.</v>
      </c>
      <c r="BQ84" s="245" t="str">
        <f>IFERROR(IF(Tidstabel[[#This Row],[År]]&gt;Input_Tidshorisont,BlankTegn,
IF(Tidstabel[[#This Row],[År]]=0,EI_Enhedspris,SUM(BQ83:BR83)*((1+Tidstabel[[#This Row],[Kalkulationsrente]])^-1)*((1+PrisudviklingGenerelt)^1)-Tidstabel[[#This Row],[EI_Afskrivning]])),BlankTegn)</f>
        <v>.</v>
      </c>
      <c r="BR84" s="245" t="str">
        <f>IFERROR(IF(Tidstabel[[#This Row],[År]]&gt;Input_Tidshorisont,BlankTegn,
IF(Tidstabel[[#This Row],[År]]=0,0,Tidstabel[[#This Row],[EI_Uds?]]*EI_Enhedspris*((1+Tidstabel[[#This Row],[Kalkulationsrente]])^-Tidstabel[[#This Row],[År]])*((1+PrisudviklingGenerelt)^Tidstabel[[#This Row],[År]]))),BlankTegn)</f>
        <v>.</v>
      </c>
      <c r="BS84" s="262" t="str">
        <f>IFERROR(IF(Tidstabel[[#This Row],[År]]&gt;Input_Tidshorisont,BlankTegn,
IF(Tidstabel[[#This Row],[År]]=0,0,Tidstabel[[#This Row],[EI_Uds?]]*-EI_Enhedspris*EI_Genoprettelse*((1+Tidstabel[[#This Row],[Kalkulationsrente]])^-Tidstabel[[#This Row],[År]])*((1+PrisudviklingGenerelt)^Tidstabel[[#This Row],[År]]))),BlankTegn)</f>
        <v>.</v>
      </c>
      <c r="BT84" s="245" t="str">
        <f>IFERROR(IF(Tidstabel[[#This Row],[År]]&gt;Input_Tidshorisont,BlankTegn,
IF(Tidstabel[[#This Row],[År]]=0,-AP_Enhedspris,0)),BlankTegn)</f>
        <v>.</v>
      </c>
      <c r="BU84" s="245" t="str">
        <f>IFERROR(IF(Tidstabel[[#This Row],[År]]&gt;Input_Tidshorisont,BlankTegn,
IF(Tidstabel[[#This Row],[År]]=0,AP_Enhedspris/AP_Levetid,BU83*((1+Tidstabel[[#This Row],[Kalkulationsrente]])^-1)*((1+PrisudviklingGenerelt)^1))),BlankTegn)</f>
        <v>.</v>
      </c>
      <c r="BV84" s="178" t="str">
        <f ca="1">IFERROR(IF(Tidstabel[[#This Row],[År]]&gt;Input_Tidshorisont,BlankTegn,
IF(AP_Vedligehold_i=1,IF(Tidstabel[[#This Row],[AP_Uds?]]=0,1,0),IF(MAX(BV83:OFFSET(BW83,2-AP_Vedligehold_i,0),Tidstabel[[#This Row],[AP_Uds?]])=0,1,0))),BlankTegn)</f>
        <v>.</v>
      </c>
      <c r="BW84" s="178" t="str">
        <f>IFERROR(IF(Tidstabel[[#This Row],[År]]&gt;Input_Tidshorisont,BlankTegn,
IF(Tidstabel[[#This Row],[År]]=0,1,IF(MOD(Tidstabel[[#This Row],[År]],AP_Levetid)=0,1,IF(Tidstabel[[#This Row],[År]]=Input_Tidshorisont,0,0)))),BlankTegn)</f>
        <v>.</v>
      </c>
      <c r="BX84" s="245" t="str">
        <f>IFERROR(IF(Tidstabel[[#This Row],[År]]&gt;Input_Tidshorisont,BlankTegn,
AP_Vedligehold_p*-AP_Enhedspris*Tidstabel[[#This Row],[AP_Ved?]]*((1+Tidstabel[[#This Row],[Kalkulationsrente]])^-Tidstabel[[#This Row],[År]])*((1+PrisudviklingGenerelt)^Tidstabel[[#This Row],[År]])),BlankTegn)</f>
        <v>.</v>
      </c>
      <c r="BY84" s="245" t="str">
        <f>IFERROR(IF(Tidstabel[[#This Row],[År]]&gt;Input_Tidshorisont,BlankTegn,
IF(Tidstabel[[#This Row],[År]]=0,AP_Enhedspris,SUM(BY83:BZ83)*((1+Tidstabel[[#This Row],[Kalkulationsrente]])^-1)*((1+PrisudviklingGenerelt)^1)-Tidstabel[[#This Row],[AP_Afskrivning]])),BlankTegn)</f>
        <v>.</v>
      </c>
      <c r="BZ84" s="245" t="str">
        <f>IFERROR(IF(Tidstabel[[#This Row],[År]]&gt;Input_Tidshorisont,BlankTegn,
IF(Tidstabel[[#This Row],[År]]=0,0,Tidstabel[[#This Row],[AP_Uds?]]*AP_Enhedspris*((1+Tidstabel[[#This Row],[Kalkulationsrente]])^-Tidstabel[[#This Row],[År]])*((1+PrisudviklingGenerelt)^Tidstabel[[#This Row],[År]]))),BlankTegn)</f>
        <v>.</v>
      </c>
      <c r="CA84" s="262" t="str">
        <f>IFERROR(IF(Tidstabel[[#This Row],[År]]&gt;Input_Tidshorisont,BlankTegn,
IF(Tidstabel[[#This Row],[År]]=0,0,Tidstabel[[#This Row],[AP_Uds?]]*-AP_Enhedspris*AP_Genoprettelse*((1+Tidstabel[[#This Row],[Kalkulationsrente]])^-Tidstabel[[#This Row],[År]])*((1+PrisudviklingGenerelt)^Tidstabel[[#This Row],[År]]))),BlankTegn)</f>
        <v>.</v>
      </c>
      <c r="CB84" s="245" t="str">
        <f>IFERROR(IF(Tidstabel[[#This Row],[År]]&gt;Input_Tidshorisont,BlankTegn,
IF(Tidstabel[[#This Row],[År]]=0,-SK_Enhedspris,0)),BlankTegn)</f>
        <v>.</v>
      </c>
      <c r="CC84" s="245" t="str">
        <f>IFERROR(IF(Tidstabel[[#This Row],[År]]&gt;Input_Tidshorisont,BlankTegn,
IF(Tidstabel[[#This Row],[År]]=0,SK_Enhedspris/SK_Levetid,CC83*((1+Tidstabel[[#This Row],[Kalkulationsrente]])^-1)*((1+PrisudviklingGenerelt)^1))),BlankTegn)</f>
        <v>.</v>
      </c>
      <c r="CD84" s="178" t="str">
        <f ca="1">IFERROR(IF(Tidstabel[[#This Row],[År]]&gt;Input_Tidshorisont,BlankTegn,
IF(SK_Vedligehold_i=1,IF(Tidstabel[[#This Row],[SK_Uds?]]=0,1,0),IF(MAX(CD83:OFFSET(CE83,2-SK_Vedligehold_i,0),Tidstabel[[#This Row],[SK_Uds?]])=0,1,0))),BlankTegn)</f>
        <v>.</v>
      </c>
      <c r="CE84" s="178" t="str">
        <f>IFERROR(IF(Tidstabel[[#This Row],[År]]&gt;Input_Tidshorisont,BlankTegn,
IF(Tidstabel[[#This Row],[År]]=0,1,IF(MOD(Tidstabel[[#This Row],[År]],SK_Levetid)=0,1,IF(Tidstabel[[#This Row],[År]]=Input_Tidshorisont,0,0)))),BlankTegn)</f>
        <v>.</v>
      </c>
      <c r="CF84" s="245" t="str">
        <f>IFERROR(IF(Tidstabel[[#This Row],[År]]&gt;Input_Tidshorisont,BlankTegn,
SK_Vedligehold_p*-SK_Enhedspris*Tidstabel[[#This Row],[SK_Ved?]]*((1+Tidstabel[[#This Row],[Kalkulationsrente]])^-Tidstabel[[#This Row],[År]])*((1+PrisudviklingGenerelt)^Tidstabel[[#This Row],[År]])),BlankTegn)</f>
        <v>.</v>
      </c>
      <c r="CG84" s="245" t="str">
        <f>IFERROR(IF(Tidstabel[[#This Row],[År]]&gt;Input_Tidshorisont,BlankTegn,
IF(Tidstabel[[#This Row],[År]]=0,SK_Enhedspris,SUM(CG83:CH83)*((1+Tidstabel[[#This Row],[Kalkulationsrente]])^-1)*((1+PrisudviklingGenerelt)^1)-Tidstabel[[#This Row],[SK_Afskrivning]])),BlankTegn)</f>
        <v>.</v>
      </c>
      <c r="CH84" s="245" t="str">
        <f>IFERROR(IF(Tidstabel[[#This Row],[År]]&gt;Input_Tidshorisont,BlankTegn,
IF(Tidstabel[[#This Row],[År]]=0,0,Tidstabel[[#This Row],[SK_Uds?]]*SK_Enhedspris*((1+Tidstabel[[#This Row],[Kalkulationsrente]])^-Tidstabel[[#This Row],[År]])*((1+PrisudviklingGenerelt)^Tidstabel[[#This Row],[År]]))),BlankTegn)</f>
        <v>.</v>
      </c>
      <c r="CI84" s="262" t="str">
        <f>IFERROR(IF(Tidstabel[[#This Row],[År]]&gt;Input_Tidshorisont,BlankTegn,
IF(Tidstabel[[#This Row],[År]]=0,0,Tidstabel[[#This Row],[SK_Uds?]]*-SK_Enhedspris*SK_Genoprettelse*((1+Tidstabel[[#This Row],[Kalkulationsrente]])^-Tidstabel[[#This Row],[År]])*((1+PrisudviklingGenerelt)^Tidstabel[[#This Row],[År]]))),BlankTegn)</f>
        <v>.</v>
      </c>
      <c r="CJ84" s="19"/>
    </row>
    <row r="85" spans="1:88">
      <c r="A85" s="250">
        <v>78</v>
      </c>
      <c r="B85" s="250">
        <f>Input_Etableringsår+Tidstabel[[#This Row],[År]]</f>
        <v>2102</v>
      </c>
      <c r="C85" s="274" cm="1">
        <f t="array" ref="C85">_xlfn.IFS(Tidstabel[[#This Row],[År]]&gt;KR_Trin3_Tærskel,KR_Trin3_Rente,Tidstabel[[#This Row],[År]]&gt;KR_Trin2_Tærskel,KR_Trin2_Rente,Tidstabel[[#This Row],[År]]&gt;KR_Trin1_Tærskel,KR_Trin1_Rente,Tidstabel[[#This Row],[År]]&gt;KR_Trin0_Tærskel,KR_Trin0_Rente)</f>
        <v>1.4999999999999999E-2</v>
      </c>
      <c r="D85" s="142" t="str" cm="1">
        <f t="array" ref="D85">IFERROR(
INDEX(Range_Materiale_ÅrligeEmissioner,MATCH(1,(Materialedata[Komponent]=FB_Titel)*(Materialedata[Materiale]=FB_Materiale),0),MATCH(Tidstabel[[#This Row],[År]],Range_Materiale_År,0)),BlankTegn)</f>
        <v>.</v>
      </c>
      <c r="E85" s="142" t="str" cm="1">
        <f t="array" ref="E85">IFERROR(
INDEX(Range_Materiale_ÅrligeEmissioner,MATCH(1,(Materialedata[Komponent]=SK_Titel)*(Materialedata[Materiale]=SK_Materiale),0),MATCH(Tidstabel[[#This Row],[År]],Range_Materiale_År,0)),BlankTegn)</f>
        <v>.</v>
      </c>
      <c r="F85" s="142" t="str" cm="1">
        <f t="array" ref="F85">IFERROR(
INDEX(Range_Materiale_ÅrligeEmissioner,MATCH(1,(Materialedata[Komponent]=EI_Titel)*(Materialedata[Materiale]=EI_Materiale),0),MATCH(Tidstabel[[#This Row],[År]],Range_Materiale_År,0)),BlankTegn)</f>
        <v>.</v>
      </c>
      <c r="G85" s="142" t="str" cm="1">
        <f t="array" ref="G85">IFERROR(
INDEX(Range_Materiale_ÅrligeEmissioner,MATCH(1,(Materialedata[Komponent]=AP_Titel)*(Materialedata[Materiale]=AP_Materiale),0),MATCH(Tidstabel[[#This Row],[År]],Range_Materiale_År,0)),BlankTegn)</f>
        <v>.</v>
      </c>
      <c r="H85" s="142" t="str" cm="1">
        <f t="array" ref="H85">IFERROR(
INDEX(Range_Materiale_ÅrligeEmissioner,MATCH(1,(Materialedata[Komponent]=VS_Titel)*(Materialedata[Materiale]=VS_Materiale),0),MATCH(Tidstabel[[#This Row],[År]],Range_Materiale_År,0)),BlankTegn)</f>
        <v>.</v>
      </c>
      <c r="I85" s="142" t="str">
        <f>IFERROR(
IF(SUM(Tidstabel[[#This Row],[Facadebeklædning]:[Vindspærre]])=0,BlankTegn,
SUM(Tidstabel[[#This Row],[Facadebeklædning]:[Vindspærre]])),BlankTegn)</f>
        <v>.</v>
      </c>
      <c r="J85" s="139" t="str">
        <f>IF(Tidstabel[[#This Row],[År]]&gt;Input_Tidshorisont,BlankTegn,
A5_ElVarmeBrændstofByggeplads)</f>
        <v>.</v>
      </c>
      <c r="K85" s="142" t="str">
        <f>IFERROR(IF(Tidstabel[[#This Row],[År]]&gt;Input_Tidshorisont,BlankTegn,
-1*INDEX(Range_Energi_ÅrligBesparelse,MATCH(Input_EksisterendeFacade,Energiberegning[Ydervæg],0),MATCH(Tidstabel[[#This Row],[Årstal]],Range_Energi_Årstal,0))),BlankTegn)</f>
        <v>.</v>
      </c>
      <c r="L85" s="142" t="str">
        <f>IF(Tidstabel[[#This Row],[År]]&gt;Input_Tidshorisont,BlankTegn,
(Tidstabel[[#This Row],[År]]+1)*(SUM(Vedligeholdelsesmaterialer[Facadefarve],Vedligeholdelsesmaterialer[Grunder og mellemmaling])/12+SUM(Vedligeholdelsesmaterialer[Puds])/30))</f>
        <v>.</v>
      </c>
      <c r="M85" s="142" t="str">
        <f>IFERROR(IF(Tidstabel[[#This Row],[År]]&gt;Input_Tidshorisont,BlankTegn,
Tidstabel[[#This Row],[Materialer_Total]]+Tidstabel[[#This Row],[Byggeprocess]]),BlankTegn)</f>
        <v>.</v>
      </c>
      <c r="N85" s="142" t="str">
        <f>IFERROR(IF(Tidstabel[[#This Row],[År]]&gt;Input_Tidshorisont,BlankTegn,
Tidstabel[[#This Row],[Energibesparelse]]+Tidstabel[[#This Row],[Emission_Brutto]]),BlankTegn)</f>
        <v>.</v>
      </c>
      <c r="O85" s="142" t="str">
        <f>IFERROR(IF(Tidstabel[[#This Row],[År]]&gt;Input_Tidshorisont,BlankTegn,
Tidstabel[[#This Row],[Emission_Netto]]-Tidstabel[[#This Row],[Vedligehold_EksisterendeFacade]]),BlankTegn)</f>
        <v>.</v>
      </c>
      <c r="P85" s="271" t="str">
        <f>IFERROR(IF(Tidstabel[[#This Row],[År]]&gt;Input_Tidshorisont,BlankTegn,
IF(AND(Tidstabel[[#This Row],[Emission_Netto]]-Tidstabel[[#This Row],[Vedligehold_EksisterendeFacade]]&gt;0,N86-L86&lt;0),-1,IF(AND(Tidstabel[[#This Row],[Emission_Netto]]-Tidstabel[[#This Row],[Vedligehold_EksisterendeFacade]]&lt;0,N86-L86&gt;0),1,0))),BlankTegn)</f>
        <v>.</v>
      </c>
      <c r="Q85" s="174" t="str">
        <f>IF(Tidstabel[[#This Row],[År]]&gt;Input_Tidshorisont,BlankTegn,
IF(Tidstabel[[#This Row],[LCA-Skæring]]=-1,SUM(Tidstabel[[#This Row],[År]]*(1-ABS(Tidstabel[[#This Row],[LCA-Difference]])/(ABS(Tidstabel[[#This Row],[LCA-Difference]])+ABS(O86))),A86*(1-ABS(O86)/(ABS(Tidstabel[[#This Row],[LCA-Difference]])+ABS(O86)))),"-"))</f>
        <v>.</v>
      </c>
      <c r="R85" s="174" t="str">
        <f>IF(Tidstabel[[#This Row],[År]]&gt;Input_Tidshorisont,BlankTegn,
IF(Tidstabel[[#This Row],[LCA-Skæring]]=-1,SUM(Tidstabel[[#This Row],[Emission_Netto]]*(1-ABS(Tidstabel[[#This Row],[LCA-Difference]])/(ABS(Tidstabel[[#This Row],[LCA-Difference]])+ABS(O86))),N86*(1-ABS(O86)/(ABS(Tidstabel[[#This Row],[LCA-Difference]])+ABS(O86)))),"-"))</f>
        <v>.</v>
      </c>
      <c r="S85" s="174" t="str">
        <f>IF(Tidstabel[[#This Row],[År]]&gt;Input_Tidshorisont,BlankTegn,
IF(Tidstabel[[#This Row],[LCA-Skæring]]=1,SUM(Tidstabel[[#This Row],[År]]*(1-ABS(Tidstabel[[#This Row],[LCA-Difference]])/(ABS(Tidstabel[[#This Row],[LCA-Difference]])+ABS(O86))),A86*(1-ABS(O86)/(ABS(Tidstabel[[#This Row],[LCA-Difference]])+ABS(O86)))),"-"))</f>
        <v>.</v>
      </c>
      <c r="T85" s="264" t="str">
        <f>IF(Tidstabel[[#This Row],[År]]&gt;Input_Tidshorisont,BlankTegn,
IF(Tidstabel[[#This Row],[LCA-Skæring]]=1,SUM(Tidstabel[[#This Row],[Emission_Netto]]*(1-ABS(Tidstabel[[#This Row],[LCA-Difference]])/(ABS(Tidstabel[[#This Row],[LCA-Difference]])+ABS(O86))),N86*(1-ABS(O86)/(ABS(Tidstabel[[#This Row],[LCA-Difference]])+ABS(O86)))),"-"))</f>
        <v>.</v>
      </c>
      <c r="U85" s="142" t="str">
        <f>IFERROR(IF(Tidstabel[[#This Row],[År]]&gt;Input_Tidshorisont,BlankTegn,
Tidstabel[[#This Row],[NPV_Klimafacade]]-Tidstabel[[#This Row],[NPV_Eksisterende]]),BlankTegn)</f>
        <v>.</v>
      </c>
      <c r="V85" s="271" t="str">
        <f>IFERROR(IF(Tidstabel[[#This Row],[År]]&gt;Input_Tidshorisont,BlankTegn,
IF(AND(Tidstabel[[#This Row],[NPV_Klimafacade]]-Tidstabel[[#This Row],[NPV_Eksisterende]]&gt;0,AB86-AA86&lt;0),1,IF(AND(Tidstabel[[#This Row],[NPV_Klimafacade]]-Tidstabel[[#This Row],[NPV_Eksisterende]]&lt;0,AB86-AA86&gt;0),-1,0))),BlankTegn)</f>
        <v>.</v>
      </c>
      <c r="W85" s="174" t="str">
        <f>IF(Tidstabel[[#This Row],[År]]&gt;Input_Tidshorisont,BlankTegn,
IF(Tidstabel[[#This Row],[LCC-Skæring]]=-1,SUM(Tidstabel[[#This Row],[År]]*(1-ABS(Tidstabel[[#This Row],[LCC-Difference]])/(ABS(Tidstabel[[#This Row],[LCC-Difference]])+ABS(U86))),A86*(1-ABS(U86)/(ABS(Tidstabel[[#This Row],[LCC-Difference]])+ABS(U86)))),"-"))</f>
        <v>.</v>
      </c>
      <c r="X85" s="174" t="str">
        <f>IF(Tidstabel[[#This Row],[År]]&gt;Input_Tidshorisont,BlankTegn,
IF(Tidstabel[[#This Row],[LCC-Skæring]]=-1,SUM(Tidstabel[[#This Row],[NPV_Klimafacade]]*(1-ABS(Tidstabel[[#This Row],[LCC-Difference]])/(ABS(Tidstabel[[#This Row],[LCC-Difference]])+ABS(U86))),AB86*(1-ABS(U86)/(ABS(Tidstabel[[#This Row],[LCC-Difference]])+ABS(U86)))),"-"))</f>
        <v>.</v>
      </c>
      <c r="Y85" s="174" t="str">
        <f>IF(Tidstabel[[#This Row],[År]]&gt;Input_Tidshorisont,BlankTegn,
IF(Tidstabel[[#This Row],[LCC-Skæring]]=1,SUM(Tidstabel[[#This Row],[År]]*(1-ABS(Tidstabel[[#This Row],[LCC-Difference]])/(ABS(Tidstabel[[#This Row],[LCC-Difference]])+ABS(U86))),A86*(1-ABS(U86)/(ABS(Tidstabel[[#This Row],[LCC-Difference]])+ABS(U86)))),"-"))</f>
        <v>.</v>
      </c>
      <c r="Z85" s="264" t="str">
        <f>IF(Tidstabel[[#This Row],[År]]&gt;Input_Tidshorisont,BlankTegn,
IF(Tidstabel[[#This Row],[LCC-Skæring]]=1,SUM(Tidstabel[[#This Row],[NPV_Klimafacade]]*(1-ABS(Tidstabel[[#This Row],[LCC-Difference]])/(ABS(Tidstabel[[#This Row],[LCC-Difference]])+ABS(U86))),AB86*(1-ABS(U86)/(ABS(Tidstabel[[#This Row],[LCC-Difference]])+ABS(U86)))),"-"))</f>
        <v>.</v>
      </c>
      <c r="AA85" s="142" t="str">
        <f>IF(Tidstabel[[#This Row],[År]]&gt;Input_Tidshorisont,BlankTegn,
Tidstabel[[#This Row],[EF_Vedligehold_Aggregeret]])</f>
        <v>.</v>
      </c>
      <c r="AB85"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85" s="142" t="str">
        <f>IFERROR(IF(Tidstabel[[#This Row],[År]]&gt;Input_Tidshorisont,BlankTegn,
Tidstabel[[#This Row],[KF_Anskaffelse_Aggregeret]]+Tidstabel[[#This Row],[KF_Engangsudgifter_Aggregeret]]),BlankTegn)</f>
        <v>.</v>
      </c>
      <c r="AD85" s="174" t="str">
        <f>IFERROR(IF(Tidstabel[[#This Row],[År]]&gt;Input_Tidshorisont,BlankTegn,
IF(Tidstabel[[#This Row],[År]]=0,0,Tidstabel[[#This Row],[NPV_Eksisterende]]*(Tidstabel[[#This Row],[Kalkulationsrente]]/(1-(1+Tidstabel[[#This Row],[Kalkulationsrente]])^-Tidstabel[[#This Row],[År]])))),BlankTegn)</f>
        <v>.</v>
      </c>
      <c r="AE85" s="264" t="str">
        <f>IFERROR(IF(Tidstabel[[#This Row],[År]]&gt;Input_Tidshorisont,BlankTegn,
IF(Tidstabel[[#This Row],[År]]=0,0,Tidstabel[[#This Row],[NPV_Klimafacade]]*(Tidstabel[[#This Row],[Kalkulationsrente]]/(1-(1+Tidstabel[[#This Row],[Kalkulationsrente]])^-Tidstabel[[#This Row],[År]])))),BlankTegn)</f>
        <v>.</v>
      </c>
      <c r="AF85" s="270" t="str">
        <f ca="1">IF(Tidstabel[[#This Row],[År]]&gt;Input_Tidshorisont,BlankTegn,
IF(EF_Vedligehold_i=1,IF(Tidstabel[[#This Row],[EF_Uds?]]=0,1,0),IF(MAX(AF84:OFFSET(AG84,2-EF_Vedligehold_i,0),Tidstabel[[#This Row],[EF_Uds?]])=0,1,0)))</f>
        <v>.</v>
      </c>
      <c r="AG85" s="181" t="str">
        <f>IF(Tidstabel[[#This Row],[År]]&gt;Input_Tidshorisont,BlankTegn,0)</f>
        <v>.</v>
      </c>
      <c r="AH85" s="263" t="str">
        <f>IF(Tidstabel[[#This Row],[År]]&gt;Input_Tidshorisont,BlankTegn,
Tidstabel[[#This Row],[EF_Ved?]]*EF_Vedligehold_p*-EF_Enhedspris*((1+Tidstabel[[#This Row],[Kalkulationsrente]])^-Tidstabel[[#This Row],[År]])*((1+PrisudviklingGenerelt)^Tidstabel[[#This Row],[År]]))</f>
        <v>.</v>
      </c>
      <c r="AI85" s="262" t="str">
        <f>IF(Tidstabel[[#This Row],[År]]&gt;Input_Tidshorisont,BlankTegn,
IF(Tidstabel[[#This Row],[År]]=0,Tidstabel[[#This Row],[EF_Vedligehold]],AI84+Tidstabel[[#This Row],[EF_Vedligehold]]))</f>
        <v>.</v>
      </c>
      <c r="AJ85" s="245" t="str">
        <f>IFERROR(IF(Tidstabel[[#This Row],[År]]&gt;Input_Tidshorisont,BlankTegn,
Tidstabel[[#This Row],[FB_Anskaffelse]]+Tidstabel[[#This Row],[VS_Anskaffelse]]+Tidstabel[[#This Row],[EI_Anskaffelse]]+Tidstabel[[#This Row],[AP_Anskaffelse]]+Tidstabel[[#This Row],[SK_Anskaffelse]]),BlankTegn)</f>
        <v>.</v>
      </c>
      <c r="AK85" s="245" t="str">
        <f>IFERROR(IF(Tidstabel[[#This Row],[År]]&gt;Input_Tidshorisont,BlankTegn,
IF(Tidstabel[[#This Row],[År]]=0,Tidstabel[[#This Row],[KF_Anskaffelse]],AK84+Tidstabel[[#This Row],[KF_Anskaffelse]])),BlankTegn)</f>
        <v>.</v>
      </c>
      <c r="AL85" s="246" t="str">
        <f>IFERROR(IF(Tidstabel[[#This Row],[År]]&gt;Input_Tidshorisont,BlankTegn,
Tidstabel[[#This Row],[FB_Vedligehold]]+Tidstabel[[#This Row],[VS_Vedligehold]]+Tidstabel[[#This Row],[EI_Vedligehold]]+Tidstabel[[#This Row],[AP_Vedligehold]]+Tidstabel[[#This Row],[SK_Vedligehold]]),BlankTegn)</f>
        <v>.</v>
      </c>
      <c r="AM85" s="245" t="str">
        <f>IFERROR(IF(Tidstabel[[#This Row],[År]]&gt;Input_Tidshorisont,BlankTegn,
IF(Tidstabel[[#This Row],[År]]=0,Tidstabel[[#This Row],[KF_Vedligehold]],AM84+Tidstabel[[#This Row],[KF_Vedligehold]])),BlankTegn)</f>
        <v>.</v>
      </c>
      <c r="AN85"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85"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85" s="245" t="str">
        <f>IFERROR(IF(Tidstabel[[#This Row],[År]]&gt;Input_Tidshorisont,BlankTegn,
IF(Tidstabel[[#This Row],[År]]=0,Tidstabel[[#This Row],[KF_Udskiftning_Komponent]],AP84+Tidstabel[[#This Row],[KF_Udskiftning_Komponent]])),BlankTegn)</f>
        <v>.</v>
      </c>
      <c r="AQ85" s="245" t="str">
        <f>IF(Tidstabel[[#This Row],[År]]&gt;Input_Tidshorisont,BlankTegn,
IF(Tidstabel[[#This Row],[År]]=0,-SUM(Engangsudgifter[Udgift]),0))</f>
        <v>.</v>
      </c>
      <c r="AR85" s="245" t="str">
        <f>IFERROR(IF(Tidstabel[[#This Row],[År]]&gt;Input_Tidshorisont,BlankTegn,
IF(Tidstabel[[#This Row],[År]]=0,Tidstabel[[#This Row],[KF_Engangsudgifter]],AR84+Tidstabel[[#This Row],[KF_Engangsudgifter]])),BlankTegn)</f>
        <v>.</v>
      </c>
      <c r="AS85" s="315" t="str">
        <f>IFERROR(IF(Tidstabel[[#This Row],[År]]&gt;Input_Tidshorisont,BlankTegn,
-Energibesparelse_Årlig),BlankTegn)</f>
        <v>.</v>
      </c>
      <c r="AT85" s="245" t="str">
        <f>IFERROR(IF(Tidstabel[[#This Row],[År]]&gt;Input_Tidshorisont,BlankTegn,
IF(Tidstabel[[#This Row],[År]]=0,0,-Tidstabel[[#This Row],[KF_Energiforbrug]]*Input_Fjernvarmepris*((1+Tidstabel[[#This Row],[Kalkulationsrente]])^-Tidstabel[[#This Row],[År]])*((1+PrisudviklingFjernvarme)^Tidstabel[[#This Row],[År]]))),BlankTegn)</f>
        <v>.</v>
      </c>
      <c r="AU85" s="262" t="str">
        <f>IFERROR(IF(Tidstabel[[#This Row],[År]]&gt;Input_Tidshorisont,BlankTegn,
IF(Tidstabel[[#This Row],[År]]=0,Tidstabel[[#This Row],[KF_Forsyning]],AU84+Tidstabel[[#This Row],[KF_Forsyning]])),BlankTegn)</f>
        <v>.</v>
      </c>
      <c r="AV85" s="245" t="str">
        <f>IFERROR(IF(Tidstabel[[#This Row],[År]]&gt;Input_Tidshorisont,BlankTegn,
IF(Tidstabel[[#This Row],[År]]=0,-FB_Enhedspris,0)),BlankTegn)</f>
        <v>.</v>
      </c>
      <c r="AW85" s="245" t="str">
        <f>IFERROR(IF(Tidstabel[[#This Row],[År]]&gt;Input_Tidshorisont,BlankTegn,
IF(Tidstabel[[#This Row],[År]]=0,FB_Enhedspris/FB_Levetid,AW84*((1+Tidstabel[[#This Row],[Kalkulationsrente]])^-1)*((1+PrisudviklingGenerelt)^1))),BlankTegn)</f>
        <v>.</v>
      </c>
      <c r="AX85" s="178" t="str">
        <f ca="1">IFERROR(IF(Tidstabel[[#This Row],[År]]&gt;Input_Tidshorisont,BlankTegn,
IF(FB_Vedligehold_i=1,IF(Tidstabel[[#This Row],[FB_Uds?]]=0,1,0),IF(MAX(AX84:OFFSET(AY84,2-FB_Vedligehold_i,0),Tidstabel[[#This Row],[FB_Uds?]])=0,1,0))),BlankTegn)</f>
        <v>.</v>
      </c>
      <c r="AY85" s="178" t="str">
        <f>IFERROR(IF(Tidstabel[[#This Row],[År]]&gt;Input_Tidshorisont,BlankTegn,
IF(Tidstabel[[#This Row],[År]]=0,1,IF(MOD(Tidstabel[[#This Row],[År]],FB_Levetid)=0,1,IF(Tidstabel[[#This Row],[År]]=Input_Tidshorisont,0,0)))),BlankTegn)</f>
        <v>.</v>
      </c>
      <c r="AZ85" s="245" t="str">
        <f>IFERROR(IF(Tidstabel[[#This Row],[År]]&gt;Input_Tidshorisont,BlankTegn,
FB_Vedligehold_p*-FB_Enhedspris*Tidstabel[[#This Row],[FB_Ved?]]*((1+Tidstabel[[#This Row],[Kalkulationsrente]])^-Tidstabel[[#This Row],[År]])*((1+PrisudviklingGenerelt)^Tidstabel[[#This Row],[År]])),BlankTegn)</f>
        <v>.</v>
      </c>
      <c r="BA85" s="245" t="str">
        <f>IFERROR(IF(Tidstabel[[#This Row],[År]]&gt;Input_Tidshorisont,BlankTegn,
IF(Tidstabel[[#This Row],[År]]=0,FB_Enhedspris,SUM(BA84:BB84)*((1+Tidstabel[[#This Row],[Kalkulationsrente]])^-1)*((1+PrisudviklingGenerelt)^1)-Tidstabel[[#This Row],[FB_Afskrivning]])),BlankTegn)</f>
        <v>.</v>
      </c>
      <c r="BB85" s="245" t="str">
        <f>IFERROR(IF(Tidstabel[[#This Row],[År]]&gt;Input_Tidshorisont,BlankTegn,
IF(Tidstabel[[#This Row],[År]]=0,0,Tidstabel[[#This Row],[FB_Uds?]]*FB_Enhedspris*((1+Tidstabel[[#This Row],[Kalkulationsrente]])^-Tidstabel[[#This Row],[År]])*((1+PrisudviklingGenerelt)^Tidstabel[[#This Row],[År]]))),BlankTegn)</f>
        <v>.</v>
      </c>
      <c r="BC85" s="262" t="str">
        <f>IFERROR(IF(Tidstabel[[#This Row],[År]]&gt;Input_Tidshorisont,BlankTegn,
IF(Tidstabel[[#This Row],[År]]=0,0,Tidstabel[[#This Row],[FB_Uds?]]*-FB_Enhedspris*FB_Genoprettelse*((1+Tidstabel[[#This Row],[Kalkulationsrente]])^-Tidstabel[[#This Row],[År]])*((1+PrisudviklingGenerelt)^Tidstabel[[#This Row],[År]]))),BlankTegn)</f>
        <v>.</v>
      </c>
      <c r="BD85" s="245" t="str">
        <f>IFERROR(IF(Tidstabel[[#This Row],[År]]&gt;Input_Tidshorisont,BlankTegn,
IF(Tidstabel[[#This Row],[År]]=0,-VS_Enhedspris,0)),BlankTegn)</f>
        <v>.</v>
      </c>
      <c r="BE85" s="245" t="str">
        <f>IFERROR(IF(Tidstabel[[#This Row],[År]]&gt;Input_Tidshorisont,BlankTegn,
IF(Tidstabel[[#This Row],[År]]=0,VS_Enhedspris/VS_Levetid,BE84*((1+Tidstabel[[#This Row],[Kalkulationsrente]])^-1)*((1+PrisudviklingGenerelt)^1))),BlankTegn)</f>
        <v>.</v>
      </c>
      <c r="BF85" s="178" t="str">
        <f ca="1">IFERROR(IF(Tidstabel[[#This Row],[År]]&gt;Input_Tidshorisont,BlankTegn,
IF(VS_Vedligehold_i=1,IF(Tidstabel[[#This Row],[VS_Uds?]]=0,1,0),IF(MAX(BF84:OFFSET(BG84,2-VS_Vedligehold_i,0),Tidstabel[[#This Row],[VS_Uds?]])=0,1,0))),BlankTegn)</f>
        <v>.</v>
      </c>
      <c r="BG85" s="178" t="str">
        <f>IFERROR(IF(Tidstabel[[#This Row],[År]]&gt;Input_Tidshorisont,BlankTegn,
IF(Tidstabel[[#This Row],[År]]=0,1,IF(MOD(Tidstabel[[#This Row],[År]],VS_Levetid)=0,1,IF(Tidstabel[[#This Row],[År]]=Input_Tidshorisont,0,0)))),BlankTegn)</f>
        <v>.</v>
      </c>
      <c r="BH85" s="245" t="str">
        <f>IFERROR(IF(Tidstabel[[#This Row],[År]]&gt;Input_Tidshorisont,BlankTegn,
VS_Vedligehold_p*-VS_Enhedspris*Tidstabel[[#This Row],[VS_Ved?]]*((1+Tidstabel[[#This Row],[Kalkulationsrente]])^-Tidstabel[[#This Row],[År]])*((1+PrisudviklingGenerelt)^Tidstabel[[#This Row],[År]])),BlankTegn)</f>
        <v>.</v>
      </c>
      <c r="BI85" s="245" t="str">
        <f>IFERROR(IF(Tidstabel[[#This Row],[År]]&gt;Input_Tidshorisont,BlankTegn,
IF(Tidstabel[[#This Row],[År]]=0,VS_Enhedspris,SUM(BI84:BJ84)*((1+Tidstabel[[#This Row],[Kalkulationsrente]])^-1)*((1+PrisudviklingGenerelt)^1)-Tidstabel[[#This Row],[VS_Afskrivning]])),BlankTegn)</f>
        <v>.</v>
      </c>
      <c r="BJ85" s="245" t="str">
        <f>IFERROR(IF(Tidstabel[[#This Row],[År]]&gt;Input_Tidshorisont,BlankTegn,
IF(Tidstabel[[#This Row],[År]]=0,0,Tidstabel[[#This Row],[VS_Uds?]]*VS_Enhedspris*((1+Tidstabel[[#This Row],[Kalkulationsrente]])^-Tidstabel[[#This Row],[År]])*((1+PrisudviklingGenerelt)^Tidstabel[[#This Row],[År]]))),BlankTegn)</f>
        <v>.</v>
      </c>
      <c r="BK85" s="262" t="str">
        <f>IFERROR(IF(Tidstabel[[#This Row],[År]]&gt;Input_Tidshorisont,BlankTegn,
IF(Tidstabel[[#This Row],[År]]=0,0,Tidstabel[[#This Row],[VS_Uds?]]*-VS_Enhedspris*VS_Genoprettelse*((1+Tidstabel[[#This Row],[Kalkulationsrente]])^-Tidstabel[[#This Row],[År]])*((1+PrisudviklingGenerelt)^Tidstabel[[#This Row],[År]]))),BlankTegn)</f>
        <v>.</v>
      </c>
      <c r="BL85" s="245" t="str">
        <f>IFERROR(IF(Tidstabel[[#This Row],[År]]&gt;Input_Tidshorisont,BlankTegn,
IF(Tidstabel[[#This Row],[År]]=0,-EI_Enhedspris,0)),BlankTegn)</f>
        <v>.</v>
      </c>
      <c r="BM85" s="245" t="str">
        <f>IFERROR(IF(Tidstabel[[#This Row],[År]]&gt;Input_Tidshorisont,BlankTegn,
IF(Tidstabel[[#This Row],[År]]=0,EI_Enhedspris/EI_Levetid,BM84*((1+Tidstabel[[#This Row],[Kalkulationsrente]])^-1)*((1+PrisudviklingGenerelt)^1))),BlankTegn)</f>
        <v>.</v>
      </c>
      <c r="BN85" s="178" t="str">
        <f ca="1">IFERROR(IF(Tidstabel[[#This Row],[År]]&gt;Input_Tidshorisont,BlankTegn,
IF(EI_Vedligehold_i=1,IF(Tidstabel[[#This Row],[EI_Uds?]]=0,1,0),IF(MAX(BN84:OFFSET(BO84,2-EI_Vedligehold_i,0),Tidstabel[[#This Row],[EI_Uds?]])=0,1,0))),BlankTegn)</f>
        <v>.</v>
      </c>
      <c r="BO85" s="178" t="str">
        <f>IFERROR(IF(Tidstabel[[#This Row],[År]]&gt;Input_Tidshorisont,BlankTegn,
IF(Tidstabel[[#This Row],[År]]=0,1,IF(MOD(Tidstabel[[#This Row],[År]],EI_Levetid)=0,1,IF(Tidstabel[[#This Row],[År]]=Input_Tidshorisont,0,0)))),BlankTegn)</f>
        <v>.</v>
      </c>
      <c r="BP85" s="245" t="str">
        <f>IFERROR(IF(Tidstabel[[#This Row],[År]]&gt;Input_Tidshorisont,BlankTegn,
EI_Vedligehold_p*-EI_Enhedspris*Tidstabel[[#This Row],[EI_Ved?]]*((1+Tidstabel[[#This Row],[Kalkulationsrente]])^-Tidstabel[[#This Row],[År]])*((1+PrisudviklingGenerelt)^Tidstabel[[#This Row],[År]])),BlankTegn)</f>
        <v>.</v>
      </c>
      <c r="BQ85" s="245" t="str">
        <f>IFERROR(IF(Tidstabel[[#This Row],[År]]&gt;Input_Tidshorisont,BlankTegn,
IF(Tidstabel[[#This Row],[År]]=0,EI_Enhedspris,SUM(BQ84:BR84)*((1+Tidstabel[[#This Row],[Kalkulationsrente]])^-1)*((1+PrisudviklingGenerelt)^1)-Tidstabel[[#This Row],[EI_Afskrivning]])),BlankTegn)</f>
        <v>.</v>
      </c>
      <c r="BR85" s="245" t="str">
        <f>IFERROR(IF(Tidstabel[[#This Row],[År]]&gt;Input_Tidshorisont,BlankTegn,
IF(Tidstabel[[#This Row],[År]]=0,0,Tidstabel[[#This Row],[EI_Uds?]]*EI_Enhedspris*((1+Tidstabel[[#This Row],[Kalkulationsrente]])^-Tidstabel[[#This Row],[År]])*((1+PrisudviklingGenerelt)^Tidstabel[[#This Row],[År]]))),BlankTegn)</f>
        <v>.</v>
      </c>
      <c r="BS85" s="262" t="str">
        <f>IFERROR(IF(Tidstabel[[#This Row],[År]]&gt;Input_Tidshorisont,BlankTegn,
IF(Tidstabel[[#This Row],[År]]=0,0,Tidstabel[[#This Row],[EI_Uds?]]*-EI_Enhedspris*EI_Genoprettelse*((1+Tidstabel[[#This Row],[Kalkulationsrente]])^-Tidstabel[[#This Row],[År]])*((1+PrisudviklingGenerelt)^Tidstabel[[#This Row],[År]]))),BlankTegn)</f>
        <v>.</v>
      </c>
      <c r="BT85" s="245" t="str">
        <f>IFERROR(IF(Tidstabel[[#This Row],[År]]&gt;Input_Tidshorisont,BlankTegn,
IF(Tidstabel[[#This Row],[År]]=0,-AP_Enhedspris,0)),BlankTegn)</f>
        <v>.</v>
      </c>
      <c r="BU85" s="245" t="str">
        <f>IFERROR(IF(Tidstabel[[#This Row],[År]]&gt;Input_Tidshorisont,BlankTegn,
IF(Tidstabel[[#This Row],[År]]=0,AP_Enhedspris/AP_Levetid,BU84*((1+Tidstabel[[#This Row],[Kalkulationsrente]])^-1)*((1+PrisudviklingGenerelt)^1))),BlankTegn)</f>
        <v>.</v>
      </c>
      <c r="BV85" s="178" t="str">
        <f ca="1">IFERROR(IF(Tidstabel[[#This Row],[År]]&gt;Input_Tidshorisont,BlankTegn,
IF(AP_Vedligehold_i=1,IF(Tidstabel[[#This Row],[AP_Uds?]]=0,1,0),IF(MAX(BV84:OFFSET(BW84,2-AP_Vedligehold_i,0),Tidstabel[[#This Row],[AP_Uds?]])=0,1,0))),BlankTegn)</f>
        <v>.</v>
      </c>
      <c r="BW85" s="178" t="str">
        <f>IFERROR(IF(Tidstabel[[#This Row],[År]]&gt;Input_Tidshorisont,BlankTegn,
IF(Tidstabel[[#This Row],[År]]=0,1,IF(MOD(Tidstabel[[#This Row],[År]],AP_Levetid)=0,1,IF(Tidstabel[[#This Row],[År]]=Input_Tidshorisont,0,0)))),BlankTegn)</f>
        <v>.</v>
      </c>
      <c r="BX85" s="245" t="str">
        <f>IFERROR(IF(Tidstabel[[#This Row],[År]]&gt;Input_Tidshorisont,BlankTegn,
AP_Vedligehold_p*-AP_Enhedspris*Tidstabel[[#This Row],[AP_Ved?]]*((1+Tidstabel[[#This Row],[Kalkulationsrente]])^-Tidstabel[[#This Row],[År]])*((1+PrisudviklingGenerelt)^Tidstabel[[#This Row],[År]])),BlankTegn)</f>
        <v>.</v>
      </c>
      <c r="BY85" s="245" t="str">
        <f>IFERROR(IF(Tidstabel[[#This Row],[År]]&gt;Input_Tidshorisont,BlankTegn,
IF(Tidstabel[[#This Row],[År]]=0,AP_Enhedspris,SUM(BY84:BZ84)*((1+Tidstabel[[#This Row],[Kalkulationsrente]])^-1)*((1+PrisudviklingGenerelt)^1)-Tidstabel[[#This Row],[AP_Afskrivning]])),BlankTegn)</f>
        <v>.</v>
      </c>
      <c r="BZ85" s="245" t="str">
        <f>IFERROR(IF(Tidstabel[[#This Row],[År]]&gt;Input_Tidshorisont,BlankTegn,
IF(Tidstabel[[#This Row],[År]]=0,0,Tidstabel[[#This Row],[AP_Uds?]]*AP_Enhedspris*((1+Tidstabel[[#This Row],[Kalkulationsrente]])^-Tidstabel[[#This Row],[År]])*((1+PrisudviklingGenerelt)^Tidstabel[[#This Row],[År]]))),BlankTegn)</f>
        <v>.</v>
      </c>
      <c r="CA85" s="262" t="str">
        <f>IFERROR(IF(Tidstabel[[#This Row],[År]]&gt;Input_Tidshorisont,BlankTegn,
IF(Tidstabel[[#This Row],[År]]=0,0,Tidstabel[[#This Row],[AP_Uds?]]*-AP_Enhedspris*AP_Genoprettelse*((1+Tidstabel[[#This Row],[Kalkulationsrente]])^-Tidstabel[[#This Row],[År]])*((1+PrisudviklingGenerelt)^Tidstabel[[#This Row],[År]]))),BlankTegn)</f>
        <v>.</v>
      </c>
      <c r="CB85" s="245" t="str">
        <f>IFERROR(IF(Tidstabel[[#This Row],[År]]&gt;Input_Tidshorisont,BlankTegn,
IF(Tidstabel[[#This Row],[År]]=0,-SK_Enhedspris,0)),BlankTegn)</f>
        <v>.</v>
      </c>
      <c r="CC85" s="245" t="str">
        <f>IFERROR(IF(Tidstabel[[#This Row],[År]]&gt;Input_Tidshorisont,BlankTegn,
IF(Tidstabel[[#This Row],[År]]=0,SK_Enhedspris/SK_Levetid,CC84*((1+Tidstabel[[#This Row],[Kalkulationsrente]])^-1)*((1+PrisudviklingGenerelt)^1))),BlankTegn)</f>
        <v>.</v>
      </c>
      <c r="CD85" s="178" t="str">
        <f ca="1">IFERROR(IF(Tidstabel[[#This Row],[År]]&gt;Input_Tidshorisont,BlankTegn,
IF(SK_Vedligehold_i=1,IF(Tidstabel[[#This Row],[SK_Uds?]]=0,1,0),IF(MAX(CD84:OFFSET(CE84,2-SK_Vedligehold_i,0),Tidstabel[[#This Row],[SK_Uds?]])=0,1,0))),BlankTegn)</f>
        <v>.</v>
      </c>
      <c r="CE85" s="178" t="str">
        <f>IFERROR(IF(Tidstabel[[#This Row],[År]]&gt;Input_Tidshorisont,BlankTegn,
IF(Tidstabel[[#This Row],[År]]=0,1,IF(MOD(Tidstabel[[#This Row],[År]],SK_Levetid)=0,1,IF(Tidstabel[[#This Row],[År]]=Input_Tidshorisont,0,0)))),BlankTegn)</f>
        <v>.</v>
      </c>
      <c r="CF85" s="245" t="str">
        <f>IFERROR(IF(Tidstabel[[#This Row],[År]]&gt;Input_Tidshorisont,BlankTegn,
SK_Vedligehold_p*-SK_Enhedspris*Tidstabel[[#This Row],[SK_Ved?]]*((1+Tidstabel[[#This Row],[Kalkulationsrente]])^-Tidstabel[[#This Row],[År]])*((1+PrisudviklingGenerelt)^Tidstabel[[#This Row],[År]])),BlankTegn)</f>
        <v>.</v>
      </c>
      <c r="CG85" s="245" t="str">
        <f>IFERROR(IF(Tidstabel[[#This Row],[År]]&gt;Input_Tidshorisont,BlankTegn,
IF(Tidstabel[[#This Row],[År]]=0,SK_Enhedspris,SUM(CG84:CH84)*((1+Tidstabel[[#This Row],[Kalkulationsrente]])^-1)*((1+PrisudviklingGenerelt)^1)-Tidstabel[[#This Row],[SK_Afskrivning]])),BlankTegn)</f>
        <v>.</v>
      </c>
      <c r="CH85" s="245" t="str">
        <f>IFERROR(IF(Tidstabel[[#This Row],[År]]&gt;Input_Tidshorisont,BlankTegn,
IF(Tidstabel[[#This Row],[År]]=0,0,Tidstabel[[#This Row],[SK_Uds?]]*SK_Enhedspris*((1+Tidstabel[[#This Row],[Kalkulationsrente]])^-Tidstabel[[#This Row],[År]])*((1+PrisudviklingGenerelt)^Tidstabel[[#This Row],[År]]))),BlankTegn)</f>
        <v>.</v>
      </c>
      <c r="CI85" s="262" t="str">
        <f>IFERROR(IF(Tidstabel[[#This Row],[År]]&gt;Input_Tidshorisont,BlankTegn,
IF(Tidstabel[[#This Row],[År]]=0,0,Tidstabel[[#This Row],[SK_Uds?]]*-SK_Enhedspris*SK_Genoprettelse*((1+Tidstabel[[#This Row],[Kalkulationsrente]])^-Tidstabel[[#This Row],[År]])*((1+PrisudviklingGenerelt)^Tidstabel[[#This Row],[År]]))),BlankTegn)</f>
        <v>.</v>
      </c>
      <c r="CJ85" s="19"/>
    </row>
    <row r="86" spans="1:88">
      <c r="A86" s="250">
        <v>79</v>
      </c>
      <c r="B86" s="250">
        <f>Input_Etableringsår+Tidstabel[[#This Row],[År]]</f>
        <v>2103</v>
      </c>
      <c r="C86" s="274" cm="1">
        <f t="array" ref="C86">_xlfn.IFS(Tidstabel[[#This Row],[År]]&gt;KR_Trin3_Tærskel,KR_Trin3_Rente,Tidstabel[[#This Row],[År]]&gt;KR_Trin2_Tærskel,KR_Trin2_Rente,Tidstabel[[#This Row],[År]]&gt;KR_Trin1_Tærskel,KR_Trin1_Rente,Tidstabel[[#This Row],[År]]&gt;KR_Trin0_Tærskel,KR_Trin0_Rente)</f>
        <v>1.4999999999999999E-2</v>
      </c>
      <c r="D86" s="142" t="str" cm="1">
        <f t="array" ref="D86">IFERROR(
INDEX(Range_Materiale_ÅrligeEmissioner,MATCH(1,(Materialedata[Komponent]=FB_Titel)*(Materialedata[Materiale]=FB_Materiale),0),MATCH(Tidstabel[[#This Row],[År]],Range_Materiale_År,0)),BlankTegn)</f>
        <v>.</v>
      </c>
      <c r="E86" s="142" t="str" cm="1">
        <f t="array" ref="E86">IFERROR(
INDEX(Range_Materiale_ÅrligeEmissioner,MATCH(1,(Materialedata[Komponent]=SK_Titel)*(Materialedata[Materiale]=SK_Materiale),0),MATCH(Tidstabel[[#This Row],[År]],Range_Materiale_År,0)),BlankTegn)</f>
        <v>.</v>
      </c>
      <c r="F86" s="142" t="str" cm="1">
        <f t="array" ref="F86">IFERROR(
INDEX(Range_Materiale_ÅrligeEmissioner,MATCH(1,(Materialedata[Komponent]=EI_Titel)*(Materialedata[Materiale]=EI_Materiale),0),MATCH(Tidstabel[[#This Row],[År]],Range_Materiale_År,0)),BlankTegn)</f>
        <v>.</v>
      </c>
      <c r="G86" s="142" t="str" cm="1">
        <f t="array" ref="G86">IFERROR(
INDEX(Range_Materiale_ÅrligeEmissioner,MATCH(1,(Materialedata[Komponent]=AP_Titel)*(Materialedata[Materiale]=AP_Materiale),0),MATCH(Tidstabel[[#This Row],[År]],Range_Materiale_År,0)),BlankTegn)</f>
        <v>.</v>
      </c>
      <c r="H86" s="142" t="str" cm="1">
        <f t="array" ref="H86">IFERROR(
INDEX(Range_Materiale_ÅrligeEmissioner,MATCH(1,(Materialedata[Komponent]=VS_Titel)*(Materialedata[Materiale]=VS_Materiale),0),MATCH(Tidstabel[[#This Row],[År]],Range_Materiale_År,0)),BlankTegn)</f>
        <v>.</v>
      </c>
      <c r="I86" s="142" t="str">
        <f>IFERROR(
IF(SUM(Tidstabel[[#This Row],[Facadebeklædning]:[Vindspærre]])=0,BlankTegn,
SUM(Tidstabel[[#This Row],[Facadebeklædning]:[Vindspærre]])),BlankTegn)</f>
        <v>.</v>
      </c>
      <c r="J86" s="139" t="str">
        <f>IF(Tidstabel[[#This Row],[År]]&gt;Input_Tidshorisont,BlankTegn,
A5_ElVarmeBrændstofByggeplads)</f>
        <v>.</v>
      </c>
      <c r="K86" s="142" t="str">
        <f>IFERROR(IF(Tidstabel[[#This Row],[År]]&gt;Input_Tidshorisont,BlankTegn,
-1*INDEX(Range_Energi_ÅrligBesparelse,MATCH(Input_EksisterendeFacade,Energiberegning[Ydervæg],0),MATCH(Tidstabel[[#This Row],[Årstal]],Range_Energi_Årstal,0))),BlankTegn)</f>
        <v>.</v>
      </c>
      <c r="L86" s="142" t="str">
        <f>IF(Tidstabel[[#This Row],[År]]&gt;Input_Tidshorisont,BlankTegn,
(Tidstabel[[#This Row],[År]]+1)*(SUM(Vedligeholdelsesmaterialer[Facadefarve],Vedligeholdelsesmaterialer[Grunder og mellemmaling])/12+SUM(Vedligeholdelsesmaterialer[Puds])/30))</f>
        <v>.</v>
      </c>
      <c r="M86" s="142" t="str">
        <f>IFERROR(IF(Tidstabel[[#This Row],[År]]&gt;Input_Tidshorisont,BlankTegn,
Tidstabel[[#This Row],[Materialer_Total]]+Tidstabel[[#This Row],[Byggeprocess]]),BlankTegn)</f>
        <v>.</v>
      </c>
      <c r="N86" s="142" t="str">
        <f>IFERROR(IF(Tidstabel[[#This Row],[År]]&gt;Input_Tidshorisont,BlankTegn,
Tidstabel[[#This Row],[Energibesparelse]]+Tidstabel[[#This Row],[Emission_Brutto]]),BlankTegn)</f>
        <v>.</v>
      </c>
      <c r="O86" s="142" t="str">
        <f>IFERROR(IF(Tidstabel[[#This Row],[År]]&gt;Input_Tidshorisont,BlankTegn,
Tidstabel[[#This Row],[Emission_Netto]]-Tidstabel[[#This Row],[Vedligehold_EksisterendeFacade]]),BlankTegn)</f>
        <v>.</v>
      </c>
      <c r="P86" s="271" t="str">
        <f>IFERROR(IF(Tidstabel[[#This Row],[År]]&gt;Input_Tidshorisont,BlankTegn,
IF(AND(Tidstabel[[#This Row],[Emission_Netto]]-Tidstabel[[#This Row],[Vedligehold_EksisterendeFacade]]&gt;0,N87-L87&lt;0),-1,IF(AND(Tidstabel[[#This Row],[Emission_Netto]]-Tidstabel[[#This Row],[Vedligehold_EksisterendeFacade]]&lt;0,N87-L87&gt;0),1,0))),BlankTegn)</f>
        <v>.</v>
      </c>
      <c r="Q86" s="174" t="str">
        <f>IF(Tidstabel[[#This Row],[År]]&gt;Input_Tidshorisont,BlankTegn,
IF(Tidstabel[[#This Row],[LCA-Skæring]]=-1,SUM(Tidstabel[[#This Row],[År]]*(1-ABS(Tidstabel[[#This Row],[LCA-Difference]])/(ABS(Tidstabel[[#This Row],[LCA-Difference]])+ABS(O87))),A87*(1-ABS(O87)/(ABS(Tidstabel[[#This Row],[LCA-Difference]])+ABS(O87)))),"-"))</f>
        <v>.</v>
      </c>
      <c r="R86" s="174" t="str">
        <f>IF(Tidstabel[[#This Row],[År]]&gt;Input_Tidshorisont,BlankTegn,
IF(Tidstabel[[#This Row],[LCA-Skæring]]=-1,SUM(Tidstabel[[#This Row],[Emission_Netto]]*(1-ABS(Tidstabel[[#This Row],[LCA-Difference]])/(ABS(Tidstabel[[#This Row],[LCA-Difference]])+ABS(O87))),N87*(1-ABS(O87)/(ABS(Tidstabel[[#This Row],[LCA-Difference]])+ABS(O87)))),"-"))</f>
        <v>.</v>
      </c>
      <c r="S86" s="174" t="str">
        <f>IF(Tidstabel[[#This Row],[År]]&gt;Input_Tidshorisont,BlankTegn,
IF(Tidstabel[[#This Row],[LCA-Skæring]]=1,SUM(Tidstabel[[#This Row],[År]]*(1-ABS(Tidstabel[[#This Row],[LCA-Difference]])/(ABS(Tidstabel[[#This Row],[LCA-Difference]])+ABS(O87))),A87*(1-ABS(O87)/(ABS(Tidstabel[[#This Row],[LCA-Difference]])+ABS(O87)))),"-"))</f>
        <v>.</v>
      </c>
      <c r="T86" s="264" t="str">
        <f>IF(Tidstabel[[#This Row],[År]]&gt;Input_Tidshorisont,BlankTegn,
IF(Tidstabel[[#This Row],[LCA-Skæring]]=1,SUM(Tidstabel[[#This Row],[Emission_Netto]]*(1-ABS(Tidstabel[[#This Row],[LCA-Difference]])/(ABS(Tidstabel[[#This Row],[LCA-Difference]])+ABS(O87))),N87*(1-ABS(O87)/(ABS(Tidstabel[[#This Row],[LCA-Difference]])+ABS(O87)))),"-"))</f>
        <v>.</v>
      </c>
      <c r="U86" s="142" t="str">
        <f>IFERROR(IF(Tidstabel[[#This Row],[År]]&gt;Input_Tidshorisont,BlankTegn,
Tidstabel[[#This Row],[NPV_Klimafacade]]-Tidstabel[[#This Row],[NPV_Eksisterende]]),BlankTegn)</f>
        <v>.</v>
      </c>
      <c r="V86" s="271" t="str">
        <f>IFERROR(IF(Tidstabel[[#This Row],[År]]&gt;Input_Tidshorisont,BlankTegn,
IF(AND(Tidstabel[[#This Row],[NPV_Klimafacade]]-Tidstabel[[#This Row],[NPV_Eksisterende]]&gt;0,AB87-AA87&lt;0),1,IF(AND(Tidstabel[[#This Row],[NPV_Klimafacade]]-Tidstabel[[#This Row],[NPV_Eksisterende]]&lt;0,AB87-AA87&gt;0),-1,0))),BlankTegn)</f>
        <v>.</v>
      </c>
      <c r="W86" s="174" t="str">
        <f>IF(Tidstabel[[#This Row],[År]]&gt;Input_Tidshorisont,BlankTegn,
IF(Tidstabel[[#This Row],[LCC-Skæring]]=-1,SUM(Tidstabel[[#This Row],[År]]*(1-ABS(Tidstabel[[#This Row],[LCC-Difference]])/(ABS(Tidstabel[[#This Row],[LCC-Difference]])+ABS(U87))),A87*(1-ABS(U87)/(ABS(Tidstabel[[#This Row],[LCC-Difference]])+ABS(U87)))),"-"))</f>
        <v>.</v>
      </c>
      <c r="X86" s="174" t="str">
        <f>IF(Tidstabel[[#This Row],[År]]&gt;Input_Tidshorisont,BlankTegn,
IF(Tidstabel[[#This Row],[LCC-Skæring]]=-1,SUM(Tidstabel[[#This Row],[NPV_Klimafacade]]*(1-ABS(Tidstabel[[#This Row],[LCC-Difference]])/(ABS(Tidstabel[[#This Row],[LCC-Difference]])+ABS(U87))),AB87*(1-ABS(U87)/(ABS(Tidstabel[[#This Row],[LCC-Difference]])+ABS(U87)))),"-"))</f>
        <v>.</v>
      </c>
      <c r="Y86" s="174" t="str">
        <f>IF(Tidstabel[[#This Row],[År]]&gt;Input_Tidshorisont,BlankTegn,
IF(Tidstabel[[#This Row],[LCC-Skæring]]=1,SUM(Tidstabel[[#This Row],[År]]*(1-ABS(Tidstabel[[#This Row],[LCC-Difference]])/(ABS(Tidstabel[[#This Row],[LCC-Difference]])+ABS(U87))),A87*(1-ABS(U87)/(ABS(Tidstabel[[#This Row],[LCC-Difference]])+ABS(U87)))),"-"))</f>
        <v>.</v>
      </c>
      <c r="Z86" s="264" t="str">
        <f>IF(Tidstabel[[#This Row],[År]]&gt;Input_Tidshorisont,BlankTegn,
IF(Tidstabel[[#This Row],[LCC-Skæring]]=1,SUM(Tidstabel[[#This Row],[NPV_Klimafacade]]*(1-ABS(Tidstabel[[#This Row],[LCC-Difference]])/(ABS(Tidstabel[[#This Row],[LCC-Difference]])+ABS(U87))),AB87*(1-ABS(U87)/(ABS(Tidstabel[[#This Row],[LCC-Difference]])+ABS(U87)))),"-"))</f>
        <v>.</v>
      </c>
      <c r="AA86" s="142" t="str">
        <f>IF(Tidstabel[[#This Row],[År]]&gt;Input_Tidshorisont,BlankTegn,
Tidstabel[[#This Row],[EF_Vedligehold_Aggregeret]])</f>
        <v>.</v>
      </c>
      <c r="AB86"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86" s="142" t="str">
        <f>IFERROR(IF(Tidstabel[[#This Row],[År]]&gt;Input_Tidshorisont,BlankTegn,
Tidstabel[[#This Row],[KF_Anskaffelse_Aggregeret]]+Tidstabel[[#This Row],[KF_Engangsudgifter_Aggregeret]]),BlankTegn)</f>
        <v>.</v>
      </c>
      <c r="AD86" s="174" t="str">
        <f>IFERROR(IF(Tidstabel[[#This Row],[År]]&gt;Input_Tidshorisont,BlankTegn,
IF(Tidstabel[[#This Row],[År]]=0,0,Tidstabel[[#This Row],[NPV_Eksisterende]]*(Tidstabel[[#This Row],[Kalkulationsrente]]/(1-(1+Tidstabel[[#This Row],[Kalkulationsrente]])^-Tidstabel[[#This Row],[År]])))),BlankTegn)</f>
        <v>.</v>
      </c>
      <c r="AE86" s="264" t="str">
        <f>IFERROR(IF(Tidstabel[[#This Row],[År]]&gt;Input_Tidshorisont,BlankTegn,
IF(Tidstabel[[#This Row],[År]]=0,0,Tidstabel[[#This Row],[NPV_Klimafacade]]*(Tidstabel[[#This Row],[Kalkulationsrente]]/(1-(1+Tidstabel[[#This Row],[Kalkulationsrente]])^-Tidstabel[[#This Row],[År]])))),BlankTegn)</f>
        <v>.</v>
      </c>
      <c r="AF86" s="270" t="str">
        <f ca="1">IF(Tidstabel[[#This Row],[År]]&gt;Input_Tidshorisont,BlankTegn,
IF(EF_Vedligehold_i=1,IF(Tidstabel[[#This Row],[EF_Uds?]]=0,1,0),IF(MAX(AF85:OFFSET(AG85,2-EF_Vedligehold_i,0),Tidstabel[[#This Row],[EF_Uds?]])=0,1,0)))</f>
        <v>.</v>
      </c>
      <c r="AG86" s="181" t="str">
        <f>IF(Tidstabel[[#This Row],[År]]&gt;Input_Tidshorisont,BlankTegn,0)</f>
        <v>.</v>
      </c>
      <c r="AH86" s="263" t="str">
        <f>IF(Tidstabel[[#This Row],[År]]&gt;Input_Tidshorisont,BlankTegn,
Tidstabel[[#This Row],[EF_Ved?]]*EF_Vedligehold_p*-EF_Enhedspris*((1+Tidstabel[[#This Row],[Kalkulationsrente]])^-Tidstabel[[#This Row],[År]])*((1+PrisudviklingGenerelt)^Tidstabel[[#This Row],[År]]))</f>
        <v>.</v>
      </c>
      <c r="AI86" s="262" t="str">
        <f>IF(Tidstabel[[#This Row],[År]]&gt;Input_Tidshorisont,BlankTegn,
IF(Tidstabel[[#This Row],[År]]=0,Tidstabel[[#This Row],[EF_Vedligehold]],AI85+Tidstabel[[#This Row],[EF_Vedligehold]]))</f>
        <v>.</v>
      </c>
      <c r="AJ86" s="245" t="str">
        <f>IFERROR(IF(Tidstabel[[#This Row],[År]]&gt;Input_Tidshorisont,BlankTegn,
Tidstabel[[#This Row],[FB_Anskaffelse]]+Tidstabel[[#This Row],[VS_Anskaffelse]]+Tidstabel[[#This Row],[EI_Anskaffelse]]+Tidstabel[[#This Row],[AP_Anskaffelse]]+Tidstabel[[#This Row],[SK_Anskaffelse]]),BlankTegn)</f>
        <v>.</v>
      </c>
      <c r="AK86" s="245" t="str">
        <f>IFERROR(IF(Tidstabel[[#This Row],[År]]&gt;Input_Tidshorisont,BlankTegn,
IF(Tidstabel[[#This Row],[År]]=0,Tidstabel[[#This Row],[KF_Anskaffelse]],AK85+Tidstabel[[#This Row],[KF_Anskaffelse]])),BlankTegn)</f>
        <v>.</v>
      </c>
      <c r="AL86" s="246" t="str">
        <f>IFERROR(IF(Tidstabel[[#This Row],[År]]&gt;Input_Tidshorisont,BlankTegn,
Tidstabel[[#This Row],[FB_Vedligehold]]+Tidstabel[[#This Row],[VS_Vedligehold]]+Tidstabel[[#This Row],[EI_Vedligehold]]+Tidstabel[[#This Row],[AP_Vedligehold]]+Tidstabel[[#This Row],[SK_Vedligehold]]),BlankTegn)</f>
        <v>.</v>
      </c>
      <c r="AM86" s="245" t="str">
        <f>IFERROR(IF(Tidstabel[[#This Row],[År]]&gt;Input_Tidshorisont,BlankTegn,
IF(Tidstabel[[#This Row],[År]]=0,Tidstabel[[#This Row],[KF_Vedligehold]],AM85+Tidstabel[[#This Row],[KF_Vedligehold]])),BlankTegn)</f>
        <v>.</v>
      </c>
      <c r="AN86"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86"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86" s="245" t="str">
        <f>IFERROR(IF(Tidstabel[[#This Row],[År]]&gt;Input_Tidshorisont,BlankTegn,
IF(Tidstabel[[#This Row],[År]]=0,Tidstabel[[#This Row],[KF_Udskiftning_Komponent]],AP85+Tidstabel[[#This Row],[KF_Udskiftning_Komponent]])),BlankTegn)</f>
        <v>.</v>
      </c>
      <c r="AQ86" s="245" t="str">
        <f>IF(Tidstabel[[#This Row],[År]]&gt;Input_Tidshorisont,BlankTegn,
IF(Tidstabel[[#This Row],[År]]=0,-SUM(Engangsudgifter[Udgift]),0))</f>
        <v>.</v>
      </c>
      <c r="AR86" s="245" t="str">
        <f>IFERROR(IF(Tidstabel[[#This Row],[År]]&gt;Input_Tidshorisont,BlankTegn,
IF(Tidstabel[[#This Row],[År]]=0,Tidstabel[[#This Row],[KF_Engangsudgifter]],AR85+Tidstabel[[#This Row],[KF_Engangsudgifter]])),BlankTegn)</f>
        <v>.</v>
      </c>
      <c r="AS86" s="315" t="str">
        <f>IFERROR(IF(Tidstabel[[#This Row],[År]]&gt;Input_Tidshorisont,BlankTegn,
-Energibesparelse_Årlig),BlankTegn)</f>
        <v>.</v>
      </c>
      <c r="AT86" s="245" t="str">
        <f>IFERROR(IF(Tidstabel[[#This Row],[År]]&gt;Input_Tidshorisont,BlankTegn,
IF(Tidstabel[[#This Row],[År]]=0,0,-Tidstabel[[#This Row],[KF_Energiforbrug]]*Input_Fjernvarmepris*((1+Tidstabel[[#This Row],[Kalkulationsrente]])^-Tidstabel[[#This Row],[År]])*((1+PrisudviklingFjernvarme)^Tidstabel[[#This Row],[År]]))),BlankTegn)</f>
        <v>.</v>
      </c>
      <c r="AU86" s="262" t="str">
        <f>IFERROR(IF(Tidstabel[[#This Row],[År]]&gt;Input_Tidshorisont,BlankTegn,
IF(Tidstabel[[#This Row],[År]]=0,Tidstabel[[#This Row],[KF_Forsyning]],AU85+Tidstabel[[#This Row],[KF_Forsyning]])),BlankTegn)</f>
        <v>.</v>
      </c>
      <c r="AV86" s="245" t="str">
        <f>IFERROR(IF(Tidstabel[[#This Row],[År]]&gt;Input_Tidshorisont,BlankTegn,
IF(Tidstabel[[#This Row],[År]]=0,-FB_Enhedspris,0)),BlankTegn)</f>
        <v>.</v>
      </c>
      <c r="AW86" s="245" t="str">
        <f>IFERROR(IF(Tidstabel[[#This Row],[År]]&gt;Input_Tidshorisont,BlankTegn,
IF(Tidstabel[[#This Row],[År]]=0,FB_Enhedspris/FB_Levetid,AW85*((1+Tidstabel[[#This Row],[Kalkulationsrente]])^-1)*((1+PrisudviklingGenerelt)^1))),BlankTegn)</f>
        <v>.</v>
      </c>
      <c r="AX86" s="178" t="str">
        <f ca="1">IFERROR(IF(Tidstabel[[#This Row],[År]]&gt;Input_Tidshorisont,BlankTegn,
IF(FB_Vedligehold_i=1,IF(Tidstabel[[#This Row],[FB_Uds?]]=0,1,0),IF(MAX(AX85:OFFSET(AY85,2-FB_Vedligehold_i,0),Tidstabel[[#This Row],[FB_Uds?]])=0,1,0))),BlankTegn)</f>
        <v>.</v>
      </c>
      <c r="AY86" s="178" t="str">
        <f>IFERROR(IF(Tidstabel[[#This Row],[År]]&gt;Input_Tidshorisont,BlankTegn,
IF(Tidstabel[[#This Row],[År]]=0,1,IF(MOD(Tidstabel[[#This Row],[År]],FB_Levetid)=0,1,IF(Tidstabel[[#This Row],[År]]=Input_Tidshorisont,0,0)))),BlankTegn)</f>
        <v>.</v>
      </c>
      <c r="AZ86" s="245" t="str">
        <f>IFERROR(IF(Tidstabel[[#This Row],[År]]&gt;Input_Tidshorisont,BlankTegn,
FB_Vedligehold_p*-FB_Enhedspris*Tidstabel[[#This Row],[FB_Ved?]]*((1+Tidstabel[[#This Row],[Kalkulationsrente]])^-Tidstabel[[#This Row],[År]])*((1+PrisudviklingGenerelt)^Tidstabel[[#This Row],[År]])),BlankTegn)</f>
        <v>.</v>
      </c>
      <c r="BA86" s="245" t="str">
        <f>IFERROR(IF(Tidstabel[[#This Row],[År]]&gt;Input_Tidshorisont,BlankTegn,
IF(Tidstabel[[#This Row],[År]]=0,FB_Enhedspris,SUM(BA85:BB85)*((1+Tidstabel[[#This Row],[Kalkulationsrente]])^-1)*((1+PrisudviklingGenerelt)^1)-Tidstabel[[#This Row],[FB_Afskrivning]])),BlankTegn)</f>
        <v>.</v>
      </c>
      <c r="BB86" s="245" t="str">
        <f>IFERROR(IF(Tidstabel[[#This Row],[År]]&gt;Input_Tidshorisont,BlankTegn,
IF(Tidstabel[[#This Row],[År]]=0,0,Tidstabel[[#This Row],[FB_Uds?]]*FB_Enhedspris*((1+Tidstabel[[#This Row],[Kalkulationsrente]])^-Tidstabel[[#This Row],[År]])*((1+PrisudviklingGenerelt)^Tidstabel[[#This Row],[År]]))),BlankTegn)</f>
        <v>.</v>
      </c>
      <c r="BC86" s="262" t="str">
        <f>IFERROR(IF(Tidstabel[[#This Row],[År]]&gt;Input_Tidshorisont,BlankTegn,
IF(Tidstabel[[#This Row],[År]]=0,0,Tidstabel[[#This Row],[FB_Uds?]]*-FB_Enhedspris*FB_Genoprettelse*((1+Tidstabel[[#This Row],[Kalkulationsrente]])^-Tidstabel[[#This Row],[År]])*((1+PrisudviklingGenerelt)^Tidstabel[[#This Row],[År]]))),BlankTegn)</f>
        <v>.</v>
      </c>
      <c r="BD86" s="245" t="str">
        <f>IFERROR(IF(Tidstabel[[#This Row],[År]]&gt;Input_Tidshorisont,BlankTegn,
IF(Tidstabel[[#This Row],[År]]=0,-VS_Enhedspris,0)),BlankTegn)</f>
        <v>.</v>
      </c>
      <c r="BE86" s="245" t="str">
        <f>IFERROR(IF(Tidstabel[[#This Row],[År]]&gt;Input_Tidshorisont,BlankTegn,
IF(Tidstabel[[#This Row],[År]]=0,VS_Enhedspris/VS_Levetid,BE85*((1+Tidstabel[[#This Row],[Kalkulationsrente]])^-1)*((1+PrisudviklingGenerelt)^1))),BlankTegn)</f>
        <v>.</v>
      </c>
      <c r="BF86" s="178" t="str">
        <f ca="1">IFERROR(IF(Tidstabel[[#This Row],[År]]&gt;Input_Tidshorisont,BlankTegn,
IF(VS_Vedligehold_i=1,IF(Tidstabel[[#This Row],[VS_Uds?]]=0,1,0),IF(MAX(BF85:OFFSET(BG85,2-VS_Vedligehold_i,0),Tidstabel[[#This Row],[VS_Uds?]])=0,1,0))),BlankTegn)</f>
        <v>.</v>
      </c>
      <c r="BG86" s="178" t="str">
        <f>IFERROR(IF(Tidstabel[[#This Row],[År]]&gt;Input_Tidshorisont,BlankTegn,
IF(Tidstabel[[#This Row],[År]]=0,1,IF(MOD(Tidstabel[[#This Row],[År]],VS_Levetid)=0,1,IF(Tidstabel[[#This Row],[År]]=Input_Tidshorisont,0,0)))),BlankTegn)</f>
        <v>.</v>
      </c>
      <c r="BH86" s="245" t="str">
        <f>IFERROR(IF(Tidstabel[[#This Row],[År]]&gt;Input_Tidshorisont,BlankTegn,
VS_Vedligehold_p*-VS_Enhedspris*Tidstabel[[#This Row],[VS_Ved?]]*((1+Tidstabel[[#This Row],[Kalkulationsrente]])^-Tidstabel[[#This Row],[År]])*((1+PrisudviklingGenerelt)^Tidstabel[[#This Row],[År]])),BlankTegn)</f>
        <v>.</v>
      </c>
      <c r="BI86" s="245" t="str">
        <f>IFERROR(IF(Tidstabel[[#This Row],[År]]&gt;Input_Tidshorisont,BlankTegn,
IF(Tidstabel[[#This Row],[År]]=0,VS_Enhedspris,SUM(BI85:BJ85)*((1+Tidstabel[[#This Row],[Kalkulationsrente]])^-1)*((1+PrisudviklingGenerelt)^1)-Tidstabel[[#This Row],[VS_Afskrivning]])),BlankTegn)</f>
        <v>.</v>
      </c>
      <c r="BJ86" s="245" t="str">
        <f>IFERROR(IF(Tidstabel[[#This Row],[År]]&gt;Input_Tidshorisont,BlankTegn,
IF(Tidstabel[[#This Row],[År]]=0,0,Tidstabel[[#This Row],[VS_Uds?]]*VS_Enhedspris*((1+Tidstabel[[#This Row],[Kalkulationsrente]])^-Tidstabel[[#This Row],[År]])*((1+PrisudviklingGenerelt)^Tidstabel[[#This Row],[År]]))),BlankTegn)</f>
        <v>.</v>
      </c>
      <c r="BK86" s="262" t="str">
        <f>IFERROR(IF(Tidstabel[[#This Row],[År]]&gt;Input_Tidshorisont,BlankTegn,
IF(Tidstabel[[#This Row],[År]]=0,0,Tidstabel[[#This Row],[VS_Uds?]]*-VS_Enhedspris*VS_Genoprettelse*((1+Tidstabel[[#This Row],[Kalkulationsrente]])^-Tidstabel[[#This Row],[År]])*((1+PrisudviklingGenerelt)^Tidstabel[[#This Row],[År]]))),BlankTegn)</f>
        <v>.</v>
      </c>
      <c r="BL86" s="245" t="str">
        <f>IFERROR(IF(Tidstabel[[#This Row],[År]]&gt;Input_Tidshorisont,BlankTegn,
IF(Tidstabel[[#This Row],[År]]=0,-EI_Enhedspris,0)),BlankTegn)</f>
        <v>.</v>
      </c>
      <c r="BM86" s="245" t="str">
        <f>IFERROR(IF(Tidstabel[[#This Row],[År]]&gt;Input_Tidshorisont,BlankTegn,
IF(Tidstabel[[#This Row],[År]]=0,EI_Enhedspris/EI_Levetid,BM85*((1+Tidstabel[[#This Row],[Kalkulationsrente]])^-1)*((1+PrisudviklingGenerelt)^1))),BlankTegn)</f>
        <v>.</v>
      </c>
      <c r="BN86" s="178" t="str">
        <f ca="1">IFERROR(IF(Tidstabel[[#This Row],[År]]&gt;Input_Tidshorisont,BlankTegn,
IF(EI_Vedligehold_i=1,IF(Tidstabel[[#This Row],[EI_Uds?]]=0,1,0),IF(MAX(BN85:OFFSET(BO85,2-EI_Vedligehold_i,0),Tidstabel[[#This Row],[EI_Uds?]])=0,1,0))),BlankTegn)</f>
        <v>.</v>
      </c>
      <c r="BO86" s="178" t="str">
        <f>IFERROR(IF(Tidstabel[[#This Row],[År]]&gt;Input_Tidshorisont,BlankTegn,
IF(Tidstabel[[#This Row],[År]]=0,1,IF(MOD(Tidstabel[[#This Row],[År]],EI_Levetid)=0,1,IF(Tidstabel[[#This Row],[År]]=Input_Tidshorisont,0,0)))),BlankTegn)</f>
        <v>.</v>
      </c>
      <c r="BP86" s="245" t="str">
        <f>IFERROR(IF(Tidstabel[[#This Row],[År]]&gt;Input_Tidshorisont,BlankTegn,
EI_Vedligehold_p*-EI_Enhedspris*Tidstabel[[#This Row],[EI_Ved?]]*((1+Tidstabel[[#This Row],[Kalkulationsrente]])^-Tidstabel[[#This Row],[År]])*((1+PrisudviklingGenerelt)^Tidstabel[[#This Row],[År]])),BlankTegn)</f>
        <v>.</v>
      </c>
      <c r="BQ86" s="245" t="str">
        <f>IFERROR(IF(Tidstabel[[#This Row],[År]]&gt;Input_Tidshorisont,BlankTegn,
IF(Tidstabel[[#This Row],[År]]=0,EI_Enhedspris,SUM(BQ85:BR85)*((1+Tidstabel[[#This Row],[Kalkulationsrente]])^-1)*((1+PrisudviklingGenerelt)^1)-Tidstabel[[#This Row],[EI_Afskrivning]])),BlankTegn)</f>
        <v>.</v>
      </c>
      <c r="BR86" s="245" t="str">
        <f>IFERROR(IF(Tidstabel[[#This Row],[År]]&gt;Input_Tidshorisont,BlankTegn,
IF(Tidstabel[[#This Row],[År]]=0,0,Tidstabel[[#This Row],[EI_Uds?]]*EI_Enhedspris*((1+Tidstabel[[#This Row],[Kalkulationsrente]])^-Tidstabel[[#This Row],[År]])*((1+PrisudviklingGenerelt)^Tidstabel[[#This Row],[År]]))),BlankTegn)</f>
        <v>.</v>
      </c>
      <c r="BS86" s="262" t="str">
        <f>IFERROR(IF(Tidstabel[[#This Row],[År]]&gt;Input_Tidshorisont,BlankTegn,
IF(Tidstabel[[#This Row],[År]]=0,0,Tidstabel[[#This Row],[EI_Uds?]]*-EI_Enhedspris*EI_Genoprettelse*((1+Tidstabel[[#This Row],[Kalkulationsrente]])^-Tidstabel[[#This Row],[År]])*((1+PrisudviklingGenerelt)^Tidstabel[[#This Row],[År]]))),BlankTegn)</f>
        <v>.</v>
      </c>
      <c r="BT86" s="245" t="str">
        <f>IFERROR(IF(Tidstabel[[#This Row],[År]]&gt;Input_Tidshorisont,BlankTegn,
IF(Tidstabel[[#This Row],[År]]=0,-AP_Enhedspris,0)),BlankTegn)</f>
        <v>.</v>
      </c>
      <c r="BU86" s="245" t="str">
        <f>IFERROR(IF(Tidstabel[[#This Row],[År]]&gt;Input_Tidshorisont,BlankTegn,
IF(Tidstabel[[#This Row],[År]]=0,AP_Enhedspris/AP_Levetid,BU85*((1+Tidstabel[[#This Row],[Kalkulationsrente]])^-1)*((1+PrisudviklingGenerelt)^1))),BlankTegn)</f>
        <v>.</v>
      </c>
      <c r="BV86" s="178" t="str">
        <f ca="1">IFERROR(IF(Tidstabel[[#This Row],[År]]&gt;Input_Tidshorisont,BlankTegn,
IF(AP_Vedligehold_i=1,IF(Tidstabel[[#This Row],[AP_Uds?]]=0,1,0),IF(MAX(BV85:OFFSET(BW85,2-AP_Vedligehold_i,0),Tidstabel[[#This Row],[AP_Uds?]])=0,1,0))),BlankTegn)</f>
        <v>.</v>
      </c>
      <c r="BW86" s="178" t="str">
        <f>IFERROR(IF(Tidstabel[[#This Row],[År]]&gt;Input_Tidshorisont,BlankTegn,
IF(Tidstabel[[#This Row],[År]]=0,1,IF(MOD(Tidstabel[[#This Row],[År]],AP_Levetid)=0,1,IF(Tidstabel[[#This Row],[År]]=Input_Tidshorisont,0,0)))),BlankTegn)</f>
        <v>.</v>
      </c>
      <c r="BX86" s="245" t="str">
        <f>IFERROR(IF(Tidstabel[[#This Row],[År]]&gt;Input_Tidshorisont,BlankTegn,
AP_Vedligehold_p*-AP_Enhedspris*Tidstabel[[#This Row],[AP_Ved?]]*((1+Tidstabel[[#This Row],[Kalkulationsrente]])^-Tidstabel[[#This Row],[År]])*((1+PrisudviklingGenerelt)^Tidstabel[[#This Row],[År]])),BlankTegn)</f>
        <v>.</v>
      </c>
      <c r="BY86" s="245" t="str">
        <f>IFERROR(IF(Tidstabel[[#This Row],[År]]&gt;Input_Tidshorisont,BlankTegn,
IF(Tidstabel[[#This Row],[År]]=0,AP_Enhedspris,SUM(BY85:BZ85)*((1+Tidstabel[[#This Row],[Kalkulationsrente]])^-1)*((1+PrisudviklingGenerelt)^1)-Tidstabel[[#This Row],[AP_Afskrivning]])),BlankTegn)</f>
        <v>.</v>
      </c>
      <c r="BZ86" s="245" t="str">
        <f>IFERROR(IF(Tidstabel[[#This Row],[År]]&gt;Input_Tidshorisont,BlankTegn,
IF(Tidstabel[[#This Row],[År]]=0,0,Tidstabel[[#This Row],[AP_Uds?]]*AP_Enhedspris*((1+Tidstabel[[#This Row],[Kalkulationsrente]])^-Tidstabel[[#This Row],[År]])*((1+PrisudviklingGenerelt)^Tidstabel[[#This Row],[År]]))),BlankTegn)</f>
        <v>.</v>
      </c>
      <c r="CA86" s="262" t="str">
        <f>IFERROR(IF(Tidstabel[[#This Row],[År]]&gt;Input_Tidshorisont,BlankTegn,
IF(Tidstabel[[#This Row],[År]]=0,0,Tidstabel[[#This Row],[AP_Uds?]]*-AP_Enhedspris*AP_Genoprettelse*((1+Tidstabel[[#This Row],[Kalkulationsrente]])^-Tidstabel[[#This Row],[År]])*((1+PrisudviklingGenerelt)^Tidstabel[[#This Row],[År]]))),BlankTegn)</f>
        <v>.</v>
      </c>
      <c r="CB86" s="245" t="str">
        <f>IFERROR(IF(Tidstabel[[#This Row],[År]]&gt;Input_Tidshorisont,BlankTegn,
IF(Tidstabel[[#This Row],[År]]=0,-SK_Enhedspris,0)),BlankTegn)</f>
        <v>.</v>
      </c>
      <c r="CC86" s="245" t="str">
        <f>IFERROR(IF(Tidstabel[[#This Row],[År]]&gt;Input_Tidshorisont,BlankTegn,
IF(Tidstabel[[#This Row],[År]]=0,SK_Enhedspris/SK_Levetid,CC85*((1+Tidstabel[[#This Row],[Kalkulationsrente]])^-1)*((1+PrisudviklingGenerelt)^1))),BlankTegn)</f>
        <v>.</v>
      </c>
      <c r="CD86" s="178" t="str">
        <f ca="1">IFERROR(IF(Tidstabel[[#This Row],[År]]&gt;Input_Tidshorisont,BlankTegn,
IF(SK_Vedligehold_i=1,IF(Tidstabel[[#This Row],[SK_Uds?]]=0,1,0),IF(MAX(CD85:OFFSET(CE85,2-SK_Vedligehold_i,0),Tidstabel[[#This Row],[SK_Uds?]])=0,1,0))),BlankTegn)</f>
        <v>.</v>
      </c>
      <c r="CE86" s="178" t="str">
        <f>IFERROR(IF(Tidstabel[[#This Row],[År]]&gt;Input_Tidshorisont,BlankTegn,
IF(Tidstabel[[#This Row],[År]]=0,1,IF(MOD(Tidstabel[[#This Row],[År]],SK_Levetid)=0,1,IF(Tidstabel[[#This Row],[År]]=Input_Tidshorisont,0,0)))),BlankTegn)</f>
        <v>.</v>
      </c>
      <c r="CF86" s="245" t="str">
        <f>IFERROR(IF(Tidstabel[[#This Row],[År]]&gt;Input_Tidshorisont,BlankTegn,
SK_Vedligehold_p*-SK_Enhedspris*Tidstabel[[#This Row],[SK_Ved?]]*((1+Tidstabel[[#This Row],[Kalkulationsrente]])^-Tidstabel[[#This Row],[År]])*((1+PrisudviklingGenerelt)^Tidstabel[[#This Row],[År]])),BlankTegn)</f>
        <v>.</v>
      </c>
      <c r="CG86" s="245" t="str">
        <f>IFERROR(IF(Tidstabel[[#This Row],[År]]&gt;Input_Tidshorisont,BlankTegn,
IF(Tidstabel[[#This Row],[År]]=0,SK_Enhedspris,SUM(CG85:CH85)*((1+Tidstabel[[#This Row],[Kalkulationsrente]])^-1)*((1+PrisudviklingGenerelt)^1)-Tidstabel[[#This Row],[SK_Afskrivning]])),BlankTegn)</f>
        <v>.</v>
      </c>
      <c r="CH86" s="245" t="str">
        <f>IFERROR(IF(Tidstabel[[#This Row],[År]]&gt;Input_Tidshorisont,BlankTegn,
IF(Tidstabel[[#This Row],[År]]=0,0,Tidstabel[[#This Row],[SK_Uds?]]*SK_Enhedspris*((1+Tidstabel[[#This Row],[Kalkulationsrente]])^-Tidstabel[[#This Row],[År]])*((1+PrisudviklingGenerelt)^Tidstabel[[#This Row],[År]]))),BlankTegn)</f>
        <v>.</v>
      </c>
      <c r="CI86" s="262" t="str">
        <f>IFERROR(IF(Tidstabel[[#This Row],[År]]&gt;Input_Tidshorisont,BlankTegn,
IF(Tidstabel[[#This Row],[År]]=0,0,Tidstabel[[#This Row],[SK_Uds?]]*-SK_Enhedspris*SK_Genoprettelse*((1+Tidstabel[[#This Row],[Kalkulationsrente]])^-Tidstabel[[#This Row],[År]])*((1+PrisudviklingGenerelt)^Tidstabel[[#This Row],[År]]))),BlankTegn)</f>
        <v>.</v>
      </c>
      <c r="CJ86" s="19"/>
    </row>
    <row r="87" spans="1:88">
      <c r="A87" s="250">
        <v>80</v>
      </c>
      <c r="B87" s="250">
        <f>Input_Etableringsår+Tidstabel[[#This Row],[År]]</f>
        <v>2104</v>
      </c>
      <c r="C87" s="274" cm="1">
        <f t="array" ref="C87">_xlfn.IFS(Tidstabel[[#This Row],[År]]&gt;KR_Trin3_Tærskel,KR_Trin3_Rente,Tidstabel[[#This Row],[År]]&gt;KR_Trin2_Tærskel,KR_Trin2_Rente,Tidstabel[[#This Row],[År]]&gt;KR_Trin1_Tærskel,KR_Trin1_Rente,Tidstabel[[#This Row],[År]]&gt;KR_Trin0_Tærskel,KR_Trin0_Rente)</f>
        <v>1.4999999999999999E-2</v>
      </c>
      <c r="D87" s="142" t="str" cm="1">
        <f t="array" ref="D87">IFERROR(
INDEX(Range_Materiale_ÅrligeEmissioner,MATCH(1,(Materialedata[Komponent]=FB_Titel)*(Materialedata[Materiale]=FB_Materiale),0),MATCH(Tidstabel[[#This Row],[År]],Range_Materiale_År,0)),BlankTegn)</f>
        <v>.</v>
      </c>
      <c r="E87" s="142" t="str" cm="1">
        <f t="array" ref="E87">IFERROR(
INDEX(Range_Materiale_ÅrligeEmissioner,MATCH(1,(Materialedata[Komponent]=SK_Titel)*(Materialedata[Materiale]=SK_Materiale),0),MATCH(Tidstabel[[#This Row],[År]],Range_Materiale_År,0)),BlankTegn)</f>
        <v>.</v>
      </c>
      <c r="F87" s="142" t="str" cm="1">
        <f t="array" ref="F87">IFERROR(
INDEX(Range_Materiale_ÅrligeEmissioner,MATCH(1,(Materialedata[Komponent]=EI_Titel)*(Materialedata[Materiale]=EI_Materiale),0),MATCH(Tidstabel[[#This Row],[År]],Range_Materiale_År,0)),BlankTegn)</f>
        <v>.</v>
      </c>
      <c r="G87" s="142" t="str" cm="1">
        <f t="array" ref="G87">IFERROR(
INDEX(Range_Materiale_ÅrligeEmissioner,MATCH(1,(Materialedata[Komponent]=AP_Titel)*(Materialedata[Materiale]=AP_Materiale),0),MATCH(Tidstabel[[#This Row],[År]],Range_Materiale_År,0)),BlankTegn)</f>
        <v>.</v>
      </c>
      <c r="H87" s="142" t="str" cm="1">
        <f t="array" ref="H87">IFERROR(
INDEX(Range_Materiale_ÅrligeEmissioner,MATCH(1,(Materialedata[Komponent]=VS_Titel)*(Materialedata[Materiale]=VS_Materiale),0),MATCH(Tidstabel[[#This Row],[År]],Range_Materiale_År,0)),BlankTegn)</f>
        <v>.</v>
      </c>
      <c r="I87" s="142" t="str">
        <f>IFERROR(
IF(SUM(Tidstabel[[#This Row],[Facadebeklædning]:[Vindspærre]])=0,BlankTegn,
SUM(Tidstabel[[#This Row],[Facadebeklædning]:[Vindspærre]])),BlankTegn)</f>
        <v>.</v>
      </c>
      <c r="J87" s="139" t="str">
        <f>IF(Tidstabel[[#This Row],[År]]&gt;Input_Tidshorisont,BlankTegn,
A5_ElVarmeBrændstofByggeplads)</f>
        <v>.</v>
      </c>
      <c r="K87" s="142" t="str">
        <f>IFERROR(IF(Tidstabel[[#This Row],[År]]&gt;Input_Tidshorisont,BlankTegn,
-1*INDEX(Range_Energi_ÅrligBesparelse,MATCH(Input_EksisterendeFacade,Energiberegning[Ydervæg],0),MATCH(Tidstabel[[#This Row],[Årstal]],Range_Energi_Årstal,0))),BlankTegn)</f>
        <v>.</v>
      </c>
      <c r="L87" s="142" t="str">
        <f>IF(Tidstabel[[#This Row],[År]]&gt;Input_Tidshorisont,BlankTegn,
(Tidstabel[[#This Row],[År]]+1)*(SUM(Vedligeholdelsesmaterialer[Facadefarve],Vedligeholdelsesmaterialer[Grunder og mellemmaling])/12+SUM(Vedligeholdelsesmaterialer[Puds])/30))</f>
        <v>.</v>
      </c>
      <c r="M87" s="142" t="str">
        <f>IFERROR(IF(Tidstabel[[#This Row],[År]]&gt;Input_Tidshorisont,BlankTegn,
Tidstabel[[#This Row],[Materialer_Total]]+Tidstabel[[#This Row],[Byggeprocess]]),BlankTegn)</f>
        <v>.</v>
      </c>
      <c r="N87" s="142" t="str">
        <f>IFERROR(IF(Tidstabel[[#This Row],[År]]&gt;Input_Tidshorisont,BlankTegn,
Tidstabel[[#This Row],[Energibesparelse]]+Tidstabel[[#This Row],[Emission_Brutto]]),BlankTegn)</f>
        <v>.</v>
      </c>
      <c r="O87" s="142" t="str">
        <f>IFERROR(IF(Tidstabel[[#This Row],[År]]&gt;Input_Tidshorisont,BlankTegn,
Tidstabel[[#This Row],[Emission_Netto]]-Tidstabel[[#This Row],[Vedligehold_EksisterendeFacade]]),BlankTegn)</f>
        <v>.</v>
      </c>
      <c r="P87" s="271" t="str">
        <f>IFERROR(IF(Tidstabel[[#This Row],[År]]&gt;Input_Tidshorisont,BlankTegn,
IF(AND(Tidstabel[[#This Row],[Emission_Netto]]-Tidstabel[[#This Row],[Vedligehold_EksisterendeFacade]]&gt;0,#REF!-#REF!&lt;0),-1,IF(AND(Tidstabel[[#This Row],[Emission_Netto]]-Tidstabel[[#This Row],[Vedligehold_EksisterendeFacade]]&lt;0,#REF!-#REF!&gt;0),1,0))),BlankTegn)</f>
        <v>.</v>
      </c>
      <c r="Q87" s="174" t="str">
        <f>IF(Tidstabel[[#This Row],[År]]&gt;Input_Tidshorisont,BlankTegn,
IF(Tidstabel[[#This Row],[LCA-Skæring]]=-1,SUM(Tidstabel[[#This Row],[År]]*(1-ABS(Tidstabel[[#This Row],[LCA-Difference]])/(ABS(Tidstabel[[#This Row],[LCA-Difference]])+ABS(#REF!))),#REF!*(1-ABS(#REF!)/(ABS(Tidstabel[[#This Row],[LCA-Difference]])+ABS(#REF!)))),"-"))</f>
        <v>.</v>
      </c>
      <c r="R87" s="174" t="str">
        <f>IF(Tidstabel[[#This Row],[År]]&gt;Input_Tidshorisont,BlankTegn,
IF(Tidstabel[[#This Row],[LCA-Skæring]]=-1,SUM(Tidstabel[[#This Row],[Emission_Netto]]*(1-ABS(Tidstabel[[#This Row],[LCA-Difference]])/(ABS(Tidstabel[[#This Row],[LCA-Difference]])+ABS(#REF!))),#REF!*(1-ABS(#REF!)/(ABS(Tidstabel[[#This Row],[LCA-Difference]])+ABS(#REF!)))),"-"))</f>
        <v>.</v>
      </c>
      <c r="S87" s="174" t="str">
        <f>IF(Tidstabel[[#This Row],[År]]&gt;Input_Tidshorisont,BlankTegn,
IF(Tidstabel[[#This Row],[LCA-Skæring]]=1,SUM(Tidstabel[[#This Row],[År]]*(1-ABS(Tidstabel[[#This Row],[LCA-Difference]])/(ABS(Tidstabel[[#This Row],[LCA-Difference]])+ABS(#REF!))),#REF!*(1-ABS(#REF!)/(ABS(Tidstabel[[#This Row],[LCA-Difference]])+ABS(#REF!)))),"-"))</f>
        <v>.</v>
      </c>
      <c r="T87" s="264" t="str">
        <f>IF(Tidstabel[[#This Row],[År]]&gt;Input_Tidshorisont,BlankTegn,
IF(Tidstabel[[#This Row],[LCA-Skæring]]=1,SUM(Tidstabel[[#This Row],[Emission_Netto]]*(1-ABS(Tidstabel[[#This Row],[LCA-Difference]])/(ABS(Tidstabel[[#This Row],[LCA-Difference]])+ABS(#REF!))),#REF!*(1-ABS(#REF!)/(ABS(Tidstabel[[#This Row],[LCA-Difference]])+ABS(#REF!)))),"-"))</f>
        <v>.</v>
      </c>
      <c r="U87" s="142" t="str">
        <f>IFERROR(IF(Tidstabel[[#This Row],[År]]&gt;Input_Tidshorisont,BlankTegn,
Tidstabel[[#This Row],[NPV_Klimafacade]]-Tidstabel[[#This Row],[NPV_Eksisterende]]),BlankTegn)</f>
        <v>.</v>
      </c>
      <c r="V87" s="271" t="str">
        <f>IFERROR(IF(Tidstabel[[#This Row],[År]]&gt;Input_Tidshorisont,BlankTegn,
IF(AND(Tidstabel[[#This Row],[NPV_Klimafacade]]-Tidstabel[[#This Row],[NPV_Eksisterende]]&gt;0,#REF!-#REF!&lt;0),1,IF(AND(Tidstabel[[#This Row],[NPV_Klimafacade]]-Tidstabel[[#This Row],[NPV_Eksisterende]]&lt;0,#REF!-#REF!&gt;0),-1,0))),BlankTegn)</f>
        <v>.</v>
      </c>
      <c r="W87" s="174" t="str">
        <f>IF(Tidstabel[[#This Row],[År]]&gt;Input_Tidshorisont,BlankTegn,
IF(Tidstabel[[#This Row],[LCC-Skæring]]=-1,SUM(Tidstabel[[#This Row],[År]]*(1-ABS(Tidstabel[[#This Row],[LCC-Difference]])/(ABS(Tidstabel[[#This Row],[LCC-Difference]])+ABS(#REF!))),#REF!*(1-ABS(#REF!)/(ABS(Tidstabel[[#This Row],[LCC-Difference]])+ABS(#REF!)))),"-"))</f>
        <v>.</v>
      </c>
      <c r="X87" s="174" t="str">
        <f>IF(Tidstabel[[#This Row],[År]]&gt;Input_Tidshorisont,BlankTegn,
IF(Tidstabel[[#This Row],[LCC-Skæring]]=-1,SUM(Tidstabel[[#This Row],[NPV_Klimafacade]]*(1-ABS(Tidstabel[[#This Row],[LCC-Difference]])/(ABS(Tidstabel[[#This Row],[LCC-Difference]])+ABS(#REF!))),#REF!*(1-ABS(#REF!)/(ABS(Tidstabel[[#This Row],[LCC-Difference]])+ABS(#REF!)))),"-"))</f>
        <v>.</v>
      </c>
      <c r="Y87" s="174" t="str">
        <f>IF(Tidstabel[[#This Row],[År]]&gt;Input_Tidshorisont,BlankTegn,
IF(Tidstabel[[#This Row],[LCC-Skæring]]=1,SUM(Tidstabel[[#This Row],[År]]*(1-ABS(Tidstabel[[#This Row],[LCC-Difference]])/(ABS(Tidstabel[[#This Row],[LCC-Difference]])+ABS(#REF!))),#REF!*(1-ABS(#REF!)/(ABS(Tidstabel[[#This Row],[LCC-Difference]])+ABS(#REF!)))),"-"))</f>
        <v>.</v>
      </c>
      <c r="Z87" s="264" t="str">
        <f>IF(Tidstabel[[#This Row],[År]]&gt;Input_Tidshorisont,BlankTegn,
IF(Tidstabel[[#This Row],[LCC-Skæring]]=1,SUM(Tidstabel[[#This Row],[NPV_Klimafacade]]*(1-ABS(Tidstabel[[#This Row],[LCC-Difference]])/(ABS(Tidstabel[[#This Row],[LCC-Difference]])+ABS(#REF!))),#REF!*(1-ABS(#REF!)/(ABS(Tidstabel[[#This Row],[LCC-Difference]])+ABS(#REF!)))),"-"))</f>
        <v>.</v>
      </c>
      <c r="AA87" s="142" t="str">
        <f>IF(Tidstabel[[#This Row],[År]]&gt;Input_Tidshorisont,BlankTegn,
Tidstabel[[#This Row],[EF_Vedligehold_Aggregeret]])</f>
        <v>.</v>
      </c>
      <c r="AB87" s="142" t="str">
        <f>IFERROR(IF(Tidstabel[[#This Row],[År]]&gt;Input_Tidshorisont,BlankTegn,
Tidstabel[[#This Row],[KF_Anskaffelse_Aggregeret]]+Tidstabel[[#This Row],[KF_Vedligehold_Aggregeret]]+Tidstabel[[#This Row],[KF_Restværdi]]+Tidstabel[[#This Row],[KF_Udskiftning_Aggregeret]]+Tidstabel[[#This Row],[KF_Engangsudgifter_Aggregeret]]+Tidstabel[[#This Row],[KF_Forsyning_Aggregeret]]),BlankTegn)</f>
        <v>.</v>
      </c>
      <c r="AC87" s="142" t="str">
        <f>IFERROR(IF(Tidstabel[[#This Row],[År]]&gt;Input_Tidshorisont,BlankTegn,
Tidstabel[[#This Row],[KF_Anskaffelse_Aggregeret]]+Tidstabel[[#This Row],[KF_Engangsudgifter_Aggregeret]]),BlankTegn)</f>
        <v>.</v>
      </c>
      <c r="AD87" s="174" t="str">
        <f>IFERROR(IF(Tidstabel[[#This Row],[År]]&gt;Input_Tidshorisont,BlankTegn,
IF(Tidstabel[[#This Row],[År]]=0,0,Tidstabel[[#This Row],[NPV_Eksisterende]]*(Tidstabel[[#This Row],[Kalkulationsrente]]/(1-(1+Tidstabel[[#This Row],[Kalkulationsrente]])^-Tidstabel[[#This Row],[År]])))),BlankTegn)</f>
        <v>.</v>
      </c>
      <c r="AE87" s="264" t="str">
        <f>IFERROR(IF(Tidstabel[[#This Row],[År]]&gt;Input_Tidshorisont,BlankTegn,
IF(Tidstabel[[#This Row],[År]]=0,0,Tidstabel[[#This Row],[NPV_Klimafacade]]*(Tidstabel[[#This Row],[Kalkulationsrente]]/(1-(1+Tidstabel[[#This Row],[Kalkulationsrente]])^-Tidstabel[[#This Row],[År]])))),BlankTegn)</f>
        <v>.</v>
      </c>
      <c r="AF87" s="270" t="str">
        <f ca="1">IF(Tidstabel[[#This Row],[År]]&gt;Input_Tidshorisont,BlankTegn,
IF(EF_Vedligehold_i=1,IF(Tidstabel[[#This Row],[EF_Uds?]]=0,1,0),IF(MAX(AF86:OFFSET(AG86,2-EF_Vedligehold_i,0),Tidstabel[[#This Row],[EF_Uds?]])=0,1,0)))</f>
        <v>.</v>
      </c>
      <c r="AG87" s="181" t="str">
        <f>IF(Tidstabel[[#This Row],[År]]&gt;Input_Tidshorisont,BlankTegn,0)</f>
        <v>.</v>
      </c>
      <c r="AH87" s="263" t="str">
        <f>IF(Tidstabel[[#This Row],[År]]&gt;Input_Tidshorisont,BlankTegn,
Tidstabel[[#This Row],[EF_Ved?]]*EF_Vedligehold_p*-EF_Enhedspris*((1+Tidstabel[[#This Row],[Kalkulationsrente]])^-Tidstabel[[#This Row],[År]])*((1+PrisudviklingGenerelt)^Tidstabel[[#This Row],[År]]))</f>
        <v>.</v>
      </c>
      <c r="AI87" s="262" t="str">
        <f>IF(Tidstabel[[#This Row],[År]]&gt;Input_Tidshorisont,BlankTegn,
IF(Tidstabel[[#This Row],[År]]=0,Tidstabel[[#This Row],[EF_Vedligehold]],AI86+Tidstabel[[#This Row],[EF_Vedligehold]]))</f>
        <v>.</v>
      </c>
      <c r="AJ87" s="245" t="str">
        <f>IFERROR(IF(Tidstabel[[#This Row],[År]]&gt;Input_Tidshorisont,BlankTegn,
Tidstabel[[#This Row],[FB_Anskaffelse]]+Tidstabel[[#This Row],[VS_Anskaffelse]]+Tidstabel[[#This Row],[EI_Anskaffelse]]+Tidstabel[[#This Row],[AP_Anskaffelse]]+Tidstabel[[#This Row],[SK_Anskaffelse]]),BlankTegn)</f>
        <v>.</v>
      </c>
      <c r="AK87" s="245" t="str">
        <f>IFERROR(IF(Tidstabel[[#This Row],[År]]&gt;Input_Tidshorisont,BlankTegn,
IF(Tidstabel[[#This Row],[År]]=0,Tidstabel[[#This Row],[KF_Anskaffelse]],AK86+Tidstabel[[#This Row],[KF_Anskaffelse]])),BlankTegn)</f>
        <v>.</v>
      </c>
      <c r="AL87" s="246" t="str">
        <f>IFERROR(IF(Tidstabel[[#This Row],[År]]&gt;Input_Tidshorisont,BlankTegn,
Tidstabel[[#This Row],[FB_Vedligehold]]+Tidstabel[[#This Row],[VS_Vedligehold]]+Tidstabel[[#This Row],[EI_Vedligehold]]+Tidstabel[[#This Row],[AP_Vedligehold]]+Tidstabel[[#This Row],[SK_Vedligehold]]),BlankTegn)</f>
        <v>.</v>
      </c>
      <c r="AM87" s="245" t="str">
        <f>IFERROR(IF(Tidstabel[[#This Row],[År]]&gt;Input_Tidshorisont,BlankTegn,
IF(Tidstabel[[#This Row],[År]]=0,Tidstabel[[#This Row],[KF_Vedligehold]],AM86+Tidstabel[[#This Row],[KF_Vedligehold]])),BlankTegn)</f>
        <v>.</v>
      </c>
      <c r="AN87" s="245" t="str">
        <f>IFERROR(IF(Tidstabel[[#This Row],[År]]&gt;Input_Tidshorisont,BlankTegn,
SUM(Tidstabel[[#This Row],[FB_Restværdi]],Tidstabel[[#This Row],[FB_Restværdi_Udskiftning]],Tidstabel[[#This Row],[VS_Restværdi]],Tidstabel[[#This Row],[VS_Restværdi_Udskiftning]],Tidstabel[[#This Row],[EI_Restværdi]],Tidstabel[[#This Row],[EI_Restværdi_Udskiftning]],Tidstabel[[#This Row],[AP_Restværdi]],Tidstabel[[#This Row],[AP_Restværdi_Udskiftning]],Tidstabel[[#This Row],[SK_Restværdi]],Tidstabel[[#This Row],[SK_Restværdi_Udskiftning]])),BlankTegn)</f>
        <v>.</v>
      </c>
      <c r="AO87" s="245" t="str">
        <f>IFERROR(IF(Tidstabel[[#This Row],[År]]&gt;Input_Tidshorisont,BlankTegn,
Tidstabel[[#This Row],[FB_Udskiftning_Komponent]]+Tidstabel[[#This Row],[VS_Udskiftning_Komponent]]+Tidstabel[[#This Row],[EI_Udskiftning_Komponent]]+Tidstabel[[#This Row],[AP_Udskiftning_Komponent]]+Tidstabel[[#This Row],[SK_Udskiftning_Komponent]]),BlankTegn)</f>
        <v>.</v>
      </c>
      <c r="AP87" s="245" t="str">
        <f>IFERROR(IF(Tidstabel[[#This Row],[År]]&gt;Input_Tidshorisont,BlankTegn,
IF(Tidstabel[[#This Row],[År]]=0,Tidstabel[[#This Row],[KF_Udskiftning_Komponent]],AP86+Tidstabel[[#This Row],[KF_Udskiftning_Komponent]])),BlankTegn)</f>
        <v>.</v>
      </c>
      <c r="AQ87" s="245" t="str">
        <f>IF(Tidstabel[[#This Row],[År]]&gt;Input_Tidshorisont,BlankTegn,
IF(Tidstabel[[#This Row],[År]]=0,-SUM(Engangsudgifter[Udgift]),0))</f>
        <v>.</v>
      </c>
      <c r="AR87" s="245" t="str">
        <f>IFERROR(IF(Tidstabel[[#This Row],[År]]&gt;Input_Tidshorisont,BlankTegn,
IF(Tidstabel[[#This Row],[År]]=0,Tidstabel[[#This Row],[KF_Engangsudgifter]],AR86+Tidstabel[[#This Row],[KF_Engangsudgifter]])),BlankTegn)</f>
        <v>.</v>
      </c>
      <c r="AS87" s="315" t="str">
        <f>IFERROR(IF(Tidstabel[[#This Row],[År]]&gt;Input_Tidshorisont,BlankTegn,
-Energibesparelse_Årlig),BlankTegn)</f>
        <v>.</v>
      </c>
      <c r="AT87" s="245" t="str">
        <f>IFERROR(IF(Tidstabel[[#This Row],[År]]&gt;Input_Tidshorisont,BlankTegn,
IF(Tidstabel[[#This Row],[År]]=0,0,-Tidstabel[[#This Row],[KF_Energiforbrug]]*Input_Fjernvarmepris*((1+Tidstabel[[#This Row],[Kalkulationsrente]])^-Tidstabel[[#This Row],[År]])*((1+PrisudviklingFjernvarme)^Tidstabel[[#This Row],[År]]))),BlankTegn)</f>
        <v>.</v>
      </c>
      <c r="AU87" s="262" t="str">
        <f>IFERROR(IF(Tidstabel[[#This Row],[År]]&gt;Input_Tidshorisont,BlankTegn,
IF(Tidstabel[[#This Row],[År]]=0,Tidstabel[[#This Row],[KF_Forsyning]],AU86+Tidstabel[[#This Row],[KF_Forsyning]])),BlankTegn)</f>
        <v>.</v>
      </c>
      <c r="AV87" s="245" t="str">
        <f>IFERROR(IF(Tidstabel[[#This Row],[År]]&gt;Input_Tidshorisont,BlankTegn,
IF(Tidstabel[[#This Row],[År]]=0,-FB_Enhedspris,0)),BlankTegn)</f>
        <v>.</v>
      </c>
      <c r="AW87" s="245" t="str">
        <f>IFERROR(IF(Tidstabel[[#This Row],[År]]&gt;Input_Tidshorisont,BlankTegn,
IF(Tidstabel[[#This Row],[År]]=0,FB_Enhedspris/FB_Levetid,AW86*((1+Tidstabel[[#This Row],[Kalkulationsrente]])^-1)*((1+PrisudviklingGenerelt)^1))),BlankTegn)</f>
        <v>.</v>
      </c>
      <c r="AX87" s="178" t="str">
        <f ca="1">IFERROR(IF(Tidstabel[[#This Row],[År]]&gt;Input_Tidshorisont,BlankTegn,
IF(FB_Vedligehold_i=1,IF(Tidstabel[[#This Row],[FB_Uds?]]=0,1,0),IF(MAX(AX86:OFFSET(AY86,2-FB_Vedligehold_i,0),Tidstabel[[#This Row],[FB_Uds?]])=0,1,0))),BlankTegn)</f>
        <v>.</v>
      </c>
      <c r="AY87" s="178" t="str">
        <f>IFERROR(IF(Tidstabel[[#This Row],[År]]&gt;Input_Tidshorisont,BlankTegn,
IF(Tidstabel[[#This Row],[År]]=0,1,IF(MOD(Tidstabel[[#This Row],[År]],FB_Levetid)=0,1,IF(Tidstabel[[#This Row],[År]]=Input_Tidshorisont,0,0)))),BlankTegn)</f>
        <v>.</v>
      </c>
      <c r="AZ87" s="245" t="str">
        <f>IFERROR(IF(Tidstabel[[#This Row],[År]]&gt;Input_Tidshorisont,BlankTegn,
FB_Vedligehold_p*-FB_Enhedspris*Tidstabel[[#This Row],[FB_Ved?]]*((1+Tidstabel[[#This Row],[Kalkulationsrente]])^-Tidstabel[[#This Row],[År]])*((1+PrisudviklingGenerelt)^Tidstabel[[#This Row],[År]])),BlankTegn)</f>
        <v>.</v>
      </c>
      <c r="BA87" s="245" t="str">
        <f>IFERROR(IF(Tidstabel[[#This Row],[År]]&gt;Input_Tidshorisont,BlankTegn,
IF(Tidstabel[[#This Row],[År]]=0,FB_Enhedspris,SUM(BA86:BB86)*((1+Tidstabel[[#This Row],[Kalkulationsrente]])^-1)*((1+PrisudviklingGenerelt)^1)-Tidstabel[[#This Row],[FB_Afskrivning]])),BlankTegn)</f>
        <v>.</v>
      </c>
      <c r="BB87" s="245" t="str">
        <f>IFERROR(IF(Tidstabel[[#This Row],[År]]&gt;Input_Tidshorisont,BlankTegn,
IF(Tidstabel[[#This Row],[År]]=0,0,Tidstabel[[#This Row],[FB_Uds?]]*FB_Enhedspris*((1+Tidstabel[[#This Row],[Kalkulationsrente]])^-Tidstabel[[#This Row],[År]])*((1+PrisudviklingGenerelt)^Tidstabel[[#This Row],[År]]))),BlankTegn)</f>
        <v>.</v>
      </c>
      <c r="BC87" s="262" t="str">
        <f>IFERROR(IF(Tidstabel[[#This Row],[År]]&gt;Input_Tidshorisont,BlankTegn,
IF(Tidstabel[[#This Row],[År]]=0,0,Tidstabel[[#This Row],[FB_Uds?]]*-FB_Enhedspris*FB_Genoprettelse*((1+Tidstabel[[#This Row],[Kalkulationsrente]])^-Tidstabel[[#This Row],[År]])*((1+PrisudviklingGenerelt)^Tidstabel[[#This Row],[År]]))),BlankTegn)</f>
        <v>.</v>
      </c>
      <c r="BD87" s="245" t="str">
        <f>IFERROR(IF(Tidstabel[[#This Row],[År]]&gt;Input_Tidshorisont,BlankTegn,
IF(Tidstabel[[#This Row],[År]]=0,-VS_Enhedspris,0)),BlankTegn)</f>
        <v>.</v>
      </c>
      <c r="BE87" s="245" t="str">
        <f>IFERROR(IF(Tidstabel[[#This Row],[År]]&gt;Input_Tidshorisont,BlankTegn,
IF(Tidstabel[[#This Row],[År]]=0,VS_Enhedspris/VS_Levetid,BE86*((1+Tidstabel[[#This Row],[Kalkulationsrente]])^-1)*((1+PrisudviklingGenerelt)^1))),BlankTegn)</f>
        <v>.</v>
      </c>
      <c r="BF87" s="178" t="str">
        <f ca="1">IFERROR(IF(Tidstabel[[#This Row],[År]]&gt;Input_Tidshorisont,BlankTegn,
IF(VS_Vedligehold_i=1,IF(Tidstabel[[#This Row],[VS_Uds?]]=0,1,0),IF(MAX(BF86:OFFSET(BG86,2-VS_Vedligehold_i,0),Tidstabel[[#This Row],[VS_Uds?]])=0,1,0))),BlankTegn)</f>
        <v>.</v>
      </c>
      <c r="BG87" s="178" t="str">
        <f>IFERROR(IF(Tidstabel[[#This Row],[År]]&gt;Input_Tidshorisont,BlankTegn,
IF(Tidstabel[[#This Row],[År]]=0,1,IF(MOD(Tidstabel[[#This Row],[År]],VS_Levetid)=0,1,IF(Tidstabel[[#This Row],[År]]=Input_Tidshorisont,0,0)))),BlankTegn)</f>
        <v>.</v>
      </c>
      <c r="BH87" s="245" t="str">
        <f>IFERROR(IF(Tidstabel[[#This Row],[År]]&gt;Input_Tidshorisont,BlankTegn,
VS_Vedligehold_p*-VS_Enhedspris*Tidstabel[[#This Row],[VS_Ved?]]*((1+Tidstabel[[#This Row],[Kalkulationsrente]])^-Tidstabel[[#This Row],[År]])*((1+PrisudviklingGenerelt)^Tidstabel[[#This Row],[År]])),BlankTegn)</f>
        <v>.</v>
      </c>
      <c r="BI87" s="245" t="str">
        <f>IFERROR(IF(Tidstabel[[#This Row],[År]]&gt;Input_Tidshorisont,BlankTegn,
IF(Tidstabel[[#This Row],[År]]=0,VS_Enhedspris,SUM(BI86:BJ86)*((1+Tidstabel[[#This Row],[Kalkulationsrente]])^-1)*((1+PrisudviklingGenerelt)^1)-Tidstabel[[#This Row],[VS_Afskrivning]])),BlankTegn)</f>
        <v>.</v>
      </c>
      <c r="BJ87" s="245" t="str">
        <f>IFERROR(IF(Tidstabel[[#This Row],[År]]&gt;Input_Tidshorisont,BlankTegn,
IF(Tidstabel[[#This Row],[År]]=0,0,Tidstabel[[#This Row],[VS_Uds?]]*VS_Enhedspris*((1+Tidstabel[[#This Row],[Kalkulationsrente]])^-Tidstabel[[#This Row],[År]])*((1+PrisudviklingGenerelt)^Tidstabel[[#This Row],[År]]))),BlankTegn)</f>
        <v>.</v>
      </c>
      <c r="BK87" s="262" t="str">
        <f>IFERROR(IF(Tidstabel[[#This Row],[År]]&gt;Input_Tidshorisont,BlankTegn,
IF(Tidstabel[[#This Row],[År]]=0,0,Tidstabel[[#This Row],[VS_Uds?]]*-VS_Enhedspris*VS_Genoprettelse*((1+Tidstabel[[#This Row],[Kalkulationsrente]])^-Tidstabel[[#This Row],[År]])*((1+PrisudviklingGenerelt)^Tidstabel[[#This Row],[År]]))),BlankTegn)</f>
        <v>.</v>
      </c>
      <c r="BL87" s="245" t="str">
        <f>IFERROR(IF(Tidstabel[[#This Row],[År]]&gt;Input_Tidshorisont,BlankTegn,
IF(Tidstabel[[#This Row],[År]]=0,-EI_Enhedspris,0)),BlankTegn)</f>
        <v>.</v>
      </c>
      <c r="BM87" s="245" t="str">
        <f>IFERROR(IF(Tidstabel[[#This Row],[År]]&gt;Input_Tidshorisont,BlankTegn,
IF(Tidstabel[[#This Row],[År]]=0,EI_Enhedspris/EI_Levetid,BM86*((1+Tidstabel[[#This Row],[Kalkulationsrente]])^-1)*((1+PrisudviklingGenerelt)^1))),BlankTegn)</f>
        <v>.</v>
      </c>
      <c r="BN87" s="178" t="str">
        <f ca="1">IFERROR(IF(Tidstabel[[#This Row],[År]]&gt;Input_Tidshorisont,BlankTegn,
IF(EI_Vedligehold_i=1,IF(Tidstabel[[#This Row],[EI_Uds?]]=0,1,0),IF(MAX(BN86:OFFSET(BO86,2-EI_Vedligehold_i,0),Tidstabel[[#This Row],[EI_Uds?]])=0,1,0))),BlankTegn)</f>
        <v>.</v>
      </c>
      <c r="BO87" s="178" t="str">
        <f>IFERROR(IF(Tidstabel[[#This Row],[År]]&gt;Input_Tidshorisont,BlankTegn,
IF(Tidstabel[[#This Row],[År]]=0,1,IF(MOD(Tidstabel[[#This Row],[År]],EI_Levetid)=0,1,IF(Tidstabel[[#This Row],[År]]=Input_Tidshorisont,0,0)))),BlankTegn)</f>
        <v>.</v>
      </c>
      <c r="BP87" s="245" t="str">
        <f>IFERROR(IF(Tidstabel[[#This Row],[År]]&gt;Input_Tidshorisont,BlankTegn,
EI_Vedligehold_p*-EI_Enhedspris*Tidstabel[[#This Row],[EI_Ved?]]*((1+Tidstabel[[#This Row],[Kalkulationsrente]])^-Tidstabel[[#This Row],[År]])*((1+PrisudviklingGenerelt)^Tidstabel[[#This Row],[År]])),BlankTegn)</f>
        <v>.</v>
      </c>
      <c r="BQ87" s="245" t="str">
        <f>IFERROR(IF(Tidstabel[[#This Row],[År]]&gt;Input_Tidshorisont,BlankTegn,
IF(Tidstabel[[#This Row],[År]]=0,EI_Enhedspris,SUM(BQ86:BR86)*((1+Tidstabel[[#This Row],[Kalkulationsrente]])^-1)*((1+PrisudviklingGenerelt)^1)-Tidstabel[[#This Row],[EI_Afskrivning]])),BlankTegn)</f>
        <v>.</v>
      </c>
      <c r="BR87" s="245" t="str">
        <f>IFERROR(IF(Tidstabel[[#This Row],[År]]&gt;Input_Tidshorisont,BlankTegn,
IF(Tidstabel[[#This Row],[År]]=0,0,Tidstabel[[#This Row],[EI_Uds?]]*EI_Enhedspris*((1+Tidstabel[[#This Row],[Kalkulationsrente]])^-Tidstabel[[#This Row],[År]])*((1+PrisudviklingGenerelt)^Tidstabel[[#This Row],[År]]))),BlankTegn)</f>
        <v>.</v>
      </c>
      <c r="BS87" s="262" t="str">
        <f>IFERROR(IF(Tidstabel[[#This Row],[År]]&gt;Input_Tidshorisont,BlankTegn,
IF(Tidstabel[[#This Row],[År]]=0,0,Tidstabel[[#This Row],[EI_Uds?]]*-EI_Enhedspris*EI_Genoprettelse*((1+Tidstabel[[#This Row],[Kalkulationsrente]])^-Tidstabel[[#This Row],[År]])*((1+PrisudviklingGenerelt)^Tidstabel[[#This Row],[År]]))),BlankTegn)</f>
        <v>.</v>
      </c>
      <c r="BT87" s="245" t="str">
        <f>IFERROR(IF(Tidstabel[[#This Row],[År]]&gt;Input_Tidshorisont,BlankTegn,
IF(Tidstabel[[#This Row],[År]]=0,-AP_Enhedspris,0)),BlankTegn)</f>
        <v>.</v>
      </c>
      <c r="BU87" s="245" t="str">
        <f>IFERROR(IF(Tidstabel[[#This Row],[År]]&gt;Input_Tidshorisont,BlankTegn,
IF(Tidstabel[[#This Row],[År]]=0,AP_Enhedspris/AP_Levetid,BU86*((1+Tidstabel[[#This Row],[Kalkulationsrente]])^-1)*((1+PrisudviklingGenerelt)^1))),BlankTegn)</f>
        <v>.</v>
      </c>
      <c r="BV87" s="178" t="str">
        <f ca="1">IFERROR(IF(Tidstabel[[#This Row],[År]]&gt;Input_Tidshorisont,BlankTegn,
IF(AP_Vedligehold_i=1,IF(Tidstabel[[#This Row],[AP_Uds?]]=0,1,0),IF(MAX(BV86:OFFSET(BW86,2-AP_Vedligehold_i,0),Tidstabel[[#This Row],[AP_Uds?]])=0,1,0))),BlankTegn)</f>
        <v>.</v>
      </c>
      <c r="BW87" s="178" t="str">
        <f>IFERROR(IF(Tidstabel[[#This Row],[År]]&gt;Input_Tidshorisont,BlankTegn,
IF(Tidstabel[[#This Row],[År]]=0,1,IF(MOD(Tidstabel[[#This Row],[År]],AP_Levetid)=0,1,IF(Tidstabel[[#This Row],[År]]=Input_Tidshorisont,0,0)))),BlankTegn)</f>
        <v>.</v>
      </c>
      <c r="BX87" s="245" t="str">
        <f>IFERROR(IF(Tidstabel[[#This Row],[År]]&gt;Input_Tidshorisont,BlankTegn,
AP_Vedligehold_p*-AP_Enhedspris*Tidstabel[[#This Row],[AP_Ved?]]*((1+Tidstabel[[#This Row],[Kalkulationsrente]])^-Tidstabel[[#This Row],[År]])*((1+PrisudviklingGenerelt)^Tidstabel[[#This Row],[År]])),BlankTegn)</f>
        <v>.</v>
      </c>
      <c r="BY87" s="245" t="str">
        <f>IFERROR(IF(Tidstabel[[#This Row],[År]]&gt;Input_Tidshorisont,BlankTegn,
IF(Tidstabel[[#This Row],[År]]=0,AP_Enhedspris,SUM(BY86:BZ86)*((1+Tidstabel[[#This Row],[Kalkulationsrente]])^-1)*((1+PrisudviklingGenerelt)^1)-Tidstabel[[#This Row],[AP_Afskrivning]])),BlankTegn)</f>
        <v>.</v>
      </c>
      <c r="BZ87" s="245" t="str">
        <f>IFERROR(IF(Tidstabel[[#This Row],[År]]&gt;Input_Tidshorisont,BlankTegn,
IF(Tidstabel[[#This Row],[År]]=0,0,Tidstabel[[#This Row],[AP_Uds?]]*AP_Enhedspris*((1+Tidstabel[[#This Row],[Kalkulationsrente]])^-Tidstabel[[#This Row],[År]])*((1+PrisudviklingGenerelt)^Tidstabel[[#This Row],[År]]))),BlankTegn)</f>
        <v>.</v>
      </c>
      <c r="CA87" s="262" t="str">
        <f>IFERROR(IF(Tidstabel[[#This Row],[År]]&gt;Input_Tidshorisont,BlankTegn,
IF(Tidstabel[[#This Row],[År]]=0,0,Tidstabel[[#This Row],[AP_Uds?]]*-AP_Enhedspris*AP_Genoprettelse*((1+Tidstabel[[#This Row],[Kalkulationsrente]])^-Tidstabel[[#This Row],[År]])*((1+PrisudviklingGenerelt)^Tidstabel[[#This Row],[År]]))),BlankTegn)</f>
        <v>.</v>
      </c>
      <c r="CB87" s="245" t="str">
        <f>IFERROR(IF(Tidstabel[[#This Row],[År]]&gt;Input_Tidshorisont,BlankTegn,
IF(Tidstabel[[#This Row],[År]]=0,-SK_Enhedspris,0)),BlankTegn)</f>
        <v>.</v>
      </c>
      <c r="CC87" s="245" t="str">
        <f>IFERROR(IF(Tidstabel[[#This Row],[År]]&gt;Input_Tidshorisont,BlankTegn,
IF(Tidstabel[[#This Row],[År]]=0,SK_Enhedspris/SK_Levetid,CC86*((1+Tidstabel[[#This Row],[Kalkulationsrente]])^-1)*((1+PrisudviklingGenerelt)^1))),BlankTegn)</f>
        <v>.</v>
      </c>
      <c r="CD87" s="178" t="str">
        <f ca="1">IFERROR(IF(Tidstabel[[#This Row],[År]]&gt;Input_Tidshorisont,BlankTegn,
IF(SK_Vedligehold_i=1,IF(Tidstabel[[#This Row],[SK_Uds?]]=0,1,0),IF(MAX(CD86:OFFSET(CE86,2-SK_Vedligehold_i,0),Tidstabel[[#This Row],[SK_Uds?]])=0,1,0))),BlankTegn)</f>
        <v>.</v>
      </c>
      <c r="CE87" s="178" t="str">
        <f>IFERROR(IF(Tidstabel[[#This Row],[År]]&gt;Input_Tidshorisont,BlankTegn,
IF(Tidstabel[[#This Row],[År]]=0,1,IF(MOD(Tidstabel[[#This Row],[År]],SK_Levetid)=0,1,IF(Tidstabel[[#This Row],[År]]=Input_Tidshorisont,0,0)))),BlankTegn)</f>
        <v>.</v>
      </c>
      <c r="CF87" s="245" t="str">
        <f>IFERROR(IF(Tidstabel[[#This Row],[År]]&gt;Input_Tidshorisont,BlankTegn,
SK_Vedligehold_p*-SK_Enhedspris*Tidstabel[[#This Row],[SK_Ved?]]*((1+Tidstabel[[#This Row],[Kalkulationsrente]])^-Tidstabel[[#This Row],[År]])*((1+PrisudviklingGenerelt)^Tidstabel[[#This Row],[År]])),BlankTegn)</f>
        <v>.</v>
      </c>
      <c r="CG87" s="245" t="str">
        <f>IFERROR(IF(Tidstabel[[#This Row],[År]]&gt;Input_Tidshorisont,BlankTegn,
IF(Tidstabel[[#This Row],[År]]=0,SK_Enhedspris,SUM(CG86:CH86)*((1+Tidstabel[[#This Row],[Kalkulationsrente]])^-1)*((1+PrisudviklingGenerelt)^1)-Tidstabel[[#This Row],[SK_Afskrivning]])),BlankTegn)</f>
        <v>.</v>
      </c>
      <c r="CH87" s="245" t="str">
        <f>IFERROR(IF(Tidstabel[[#This Row],[År]]&gt;Input_Tidshorisont,BlankTegn,
IF(Tidstabel[[#This Row],[År]]=0,0,Tidstabel[[#This Row],[SK_Uds?]]*SK_Enhedspris*((1+Tidstabel[[#This Row],[Kalkulationsrente]])^-Tidstabel[[#This Row],[År]])*((1+PrisudviklingGenerelt)^Tidstabel[[#This Row],[År]]))),BlankTegn)</f>
        <v>.</v>
      </c>
      <c r="CI87" s="262" t="str">
        <f>IFERROR(IF(Tidstabel[[#This Row],[År]]&gt;Input_Tidshorisont,BlankTegn,
IF(Tidstabel[[#This Row],[År]]=0,0,Tidstabel[[#This Row],[SK_Uds?]]*-SK_Enhedspris*SK_Genoprettelse*((1+Tidstabel[[#This Row],[Kalkulationsrente]])^-Tidstabel[[#This Row],[År]])*((1+PrisudviklingGenerelt)^Tidstabel[[#This Row],[År]]))),BlankTegn)</f>
        <v>.</v>
      </c>
      <c r="CJ87" s="19"/>
    </row>
    <row r="88" spans="1:88">
      <c r="A88" s="19"/>
      <c r="B88" s="19"/>
      <c r="C88" s="19"/>
      <c r="D88" s="170"/>
      <c r="E88" s="170"/>
      <c r="F88" s="170"/>
      <c r="G88" s="170"/>
      <c r="H88" s="170"/>
      <c r="I88" s="170"/>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312"/>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row>
    <row r="89" spans="1:88">
      <c r="A89" s="19"/>
      <c r="B89" s="19"/>
      <c r="C89" s="19"/>
      <c r="D89" s="170"/>
      <c r="E89" s="170"/>
      <c r="F89" s="170"/>
      <c r="G89" s="170"/>
      <c r="H89" s="170"/>
      <c r="I89" s="170"/>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312"/>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row>
  </sheetData>
  <mergeCells count="30">
    <mergeCell ref="P4:T4"/>
    <mergeCell ref="AV4:BC4"/>
    <mergeCell ref="AV5:BC5"/>
    <mergeCell ref="P5:T5"/>
    <mergeCell ref="AA4:AB4"/>
    <mergeCell ref="AA5:AB5"/>
    <mergeCell ref="AD4:AE4"/>
    <mergeCell ref="AD5:AE5"/>
    <mergeCell ref="A5:B5"/>
    <mergeCell ref="D5:I5"/>
    <mergeCell ref="L4:L5"/>
    <mergeCell ref="M4:N5"/>
    <mergeCell ref="O4:O5"/>
    <mergeCell ref="D4:I4"/>
    <mergeCell ref="A4:B4"/>
    <mergeCell ref="CB4:CI4"/>
    <mergeCell ref="CB5:CI5"/>
    <mergeCell ref="V4:Z4"/>
    <mergeCell ref="V5:Z5"/>
    <mergeCell ref="U4:U5"/>
    <mergeCell ref="BD4:BK4"/>
    <mergeCell ref="BD5:BK5"/>
    <mergeCell ref="BL4:BS4"/>
    <mergeCell ref="BL5:BS5"/>
    <mergeCell ref="BT4:CA4"/>
    <mergeCell ref="BT5:CA5"/>
    <mergeCell ref="AF4:AI4"/>
    <mergeCell ref="AF5:AI5"/>
    <mergeCell ref="AJ4:AU4"/>
    <mergeCell ref="AJ5:AU5"/>
  </mergeCells>
  <phoneticPr fontId="17" type="noConversion"/>
  <conditionalFormatting sqref="D2:CI2">
    <cfRule type="containsText" dxfId="16" priority="8" operator="containsText" text="Afventer">
      <formula>NOT(ISERROR(SEARCH("Afventer",D2)))</formula>
    </cfRule>
    <cfRule type="beginsWith" dxfId="15" priority="9" operator="beginsWith" text="&gt;">
      <formula>LEFT(D2,LEN("&gt;"))="&gt;"</formula>
    </cfRule>
  </conditionalFormatting>
  <conditionalFormatting sqref="P7:P87">
    <cfRule type="cellIs" dxfId="14" priority="22" operator="equal">
      <formula>0</formula>
    </cfRule>
    <cfRule type="cellIs" dxfId="13" priority="24" operator="equal">
      <formula>1</formula>
    </cfRule>
    <cfRule type="cellIs" dxfId="12" priority="25" operator="equal">
      <formula>-1</formula>
    </cfRule>
  </conditionalFormatting>
  <conditionalFormatting sqref="P7:Z87">
    <cfRule type="cellIs" dxfId="11" priority="21" operator="equal">
      <formula>"-"</formula>
    </cfRule>
  </conditionalFormatting>
  <conditionalFormatting sqref="V7:V87">
    <cfRule type="cellIs" dxfId="10" priority="10" operator="equal">
      <formula>0</formula>
    </cfRule>
    <cfRule type="cellIs" dxfId="9" priority="11" operator="equal">
      <formula>1</formula>
    </cfRule>
    <cfRule type="cellIs" dxfId="8" priority="17" operator="equal">
      <formula>-1</formula>
    </cfRule>
  </conditionalFormatting>
  <pageMargins left="0.7" right="0.7" top="0.75" bottom="0.75" header="0.3" footer="0.3"/>
  <legacyDrawing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A469C-417C-431F-8554-7238DEE72086}">
  <sheetPr codeName="Sheet10">
    <tabColor theme="0" tint="-0.249977111117893"/>
  </sheetPr>
  <dimension ref="A1:DM62"/>
  <sheetViews>
    <sheetView zoomScaleNormal="100" workbookViewId="0">
      <pane xSplit="2" ySplit="2" topLeftCell="C3" activePane="bottomRight" state="frozen"/>
      <selection pane="topRight" activeCell="C1" sqref="C1"/>
      <selection pane="bottomLeft" activeCell="A3" sqref="A3"/>
      <selection pane="bottomRight"/>
    </sheetView>
  </sheetViews>
  <sheetFormatPr defaultColWidth="0" defaultRowHeight="15" zeroHeight="1"/>
  <cols>
    <col min="1" max="1" width="17.140625" style="107" bestFit="1" customWidth="1"/>
    <col min="2" max="2" width="37.42578125" style="107" bestFit="1" customWidth="1"/>
    <col min="3" max="3" width="23.7109375" style="127" bestFit="1" customWidth="1"/>
    <col min="4" max="4" width="58.42578125" style="127" bestFit="1" customWidth="1"/>
    <col min="5" max="5" width="65.28515625" style="110" bestFit="1" customWidth="1"/>
    <col min="6" max="6" width="37.42578125" style="110" bestFit="1" customWidth="1"/>
    <col min="7" max="7" width="10.42578125" style="109" bestFit="1" customWidth="1"/>
    <col min="8" max="8" width="10.42578125" style="107" bestFit="1" customWidth="1"/>
    <col min="9" max="9" width="14" style="107" bestFit="1" customWidth="1"/>
    <col min="10" max="10" width="17.140625" style="107" bestFit="1" customWidth="1"/>
    <col min="11" max="11" width="22.140625" style="110" bestFit="1" customWidth="1"/>
    <col min="12" max="12" width="34.140625" style="110" bestFit="1" customWidth="1"/>
    <col min="13" max="13" width="8.140625" style="107" bestFit="1" customWidth="1"/>
    <col min="14" max="14" width="11.42578125" style="113" bestFit="1" customWidth="1"/>
    <col min="15" max="15" width="11.42578125" style="107" bestFit="1" customWidth="1"/>
    <col min="16" max="16" width="11.42578125" style="113" bestFit="1" customWidth="1"/>
    <col min="17" max="17" width="15.28515625" style="113" bestFit="1" customWidth="1"/>
    <col min="18" max="18" width="12.28515625" style="123" bestFit="1" customWidth="1"/>
    <col min="19" max="19" width="12.140625" style="113" bestFit="1" customWidth="1"/>
    <col min="20" max="20" width="12.140625" bestFit="1" customWidth="1"/>
    <col min="21" max="21" width="11.28515625" style="113" bestFit="1" customWidth="1"/>
    <col min="22" max="22" width="10.42578125" bestFit="1" customWidth="1"/>
    <col min="23" max="23" width="6.28515625" bestFit="1" customWidth="1"/>
    <col min="24" max="24" width="11.42578125" bestFit="1" customWidth="1"/>
    <col min="25" max="27" width="8.42578125" bestFit="1" customWidth="1"/>
    <col min="28" max="28" width="7.42578125" bestFit="1" customWidth="1"/>
    <col min="29" max="30" width="12.42578125" style="107" bestFit="1" customWidth="1"/>
    <col min="31" max="31" width="12.42578125" style="110" bestFit="1" customWidth="1"/>
    <col min="32" max="32" width="14.28515625" style="110" customWidth="1"/>
    <col min="33" max="33" width="11.7109375" style="114" bestFit="1" customWidth="1"/>
    <col min="34" max="34" width="11.7109375" style="113" bestFit="1" customWidth="1"/>
    <col min="35" max="35" width="5.42578125" style="156" customWidth="1"/>
    <col min="36" max="37" width="6.28515625" style="113" bestFit="1" customWidth="1"/>
    <col min="38" max="38" width="6.28515625" style="112" bestFit="1" customWidth="1"/>
    <col min="39" max="39" width="6.28515625" style="110" bestFit="1" customWidth="1"/>
    <col min="40" max="115" width="6.28515625" bestFit="1" customWidth="1"/>
    <col min="116" max="116" width="5.5703125" bestFit="1" customWidth="1"/>
    <col min="117" max="117" width="8.85546875" customWidth="1"/>
    <col min="118" max="16384" width="8.85546875" hidden="1"/>
  </cols>
  <sheetData>
    <row r="1" spans="1:117" s="111" customFormat="1" ht="29.1" customHeight="1">
      <c r="A1" s="124"/>
      <c r="B1" s="137" t="s">
        <v>299</v>
      </c>
      <c r="C1" s="125"/>
      <c r="D1" s="125"/>
      <c r="E1" s="126"/>
      <c r="F1" s="124"/>
      <c r="G1" s="138" t="s">
        <v>335</v>
      </c>
      <c r="H1" s="138" t="s">
        <v>336</v>
      </c>
      <c r="I1" s="553" t="s">
        <v>327</v>
      </c>
      <c r="J1" s="555"/>
      <c r="K1" s="556" t="s">
        <v>334</v>
      </c>
      <c r="L1" s="557"/>
      <c r="M1" s="557"/>
      <c r="N1" s="557"/>
      <c r="O1" s="557"/>
      <c r="P1" s="558"/>
      <c r="Q1" s="556" t="s">
        <v>337</v>
      </c>
      <c r="R1" s="557"/>
      <c r="S1" s="557"/>
      <c r="T1" s="557"/>
      <c r="U1" s="558"/>
      <c r="V1" s="553" t="s">
        <v>318</v>
      </c>
      <c r="W1" s="554"/>
      <c r="X1" s="553" t="s">
        <v>324</v>
      </c>
      <c r="Y1" s="555"/>
      <c r="Z1" s="555"/>
      <c r="AA1" s="555"/>
      <c r="AB1" s="554"/>
      <c r="AC1" s="553" t="s">
        <v>332</v>
      </c>
      <c r="AD1" s="559"/>
      <c r="AE1" s="559"/>
      <c r="AF1" s="560"/>
      <c r="AG1" s="553" t="s">
        <v>331</v>
      </c>
      <c r="AH1" s="555"/>
      <c r="AI1" s="160">
        <v>0</v>
      </c>
      <c r="AJ1" s="550" t="s">
        <v>316</v>
      </c>
      <c r="AK1" s="551"/>
      <c r="AL1" s="551"/>
      <c r="AM1" s="551"/>
      <c r="AN1" s="551"/>
      <c r="AO1" s="551"/>
      <c r="AP1" s="551"/>
      <c r="AQ1" s="551"/>
      <c r="AR1" s="551"/>
      <c r="AS1" s="551"/>
      <c r="AT1" s="552"/>
      <c r="AU1" s="335"/>
      <c r="AV1" s="335"/>
      <c r="AW1" s="335"/>
      <c r="AX1" s="335"/>
      <c r="AY1" s="335"/>
      <c r="AZ1" s="335"/>
      <c r="BA1" s="335"/>
      <c r="BB1" s="335"/>
      <c r="BC1" s="335"/>
      <c r="BD1" s="335"/>
      <c r="BE1" s="335"/>
      <c r="BF1" s="335"/>
      <c r="BG1" s="335"/>
      <c r="BH1" s="335"/>
      <c r="BI1" s="335"/>
      <c r="BJ1" s="335"/>
      <c r="BK1" s="335"/>
      <c r="BL1" s="335"/>
      <c r="BM1" s="335"/>
      <c r="BN1" s="335"/>
      <c r="BO1" s="335"/>
      <c r="BP1" s="335"/>
      <c r="BQ1" s="335"/>
      <c r="BR1" s="335"/>
      <c r="BS1" s="335"/>
      <c r="BT1" s="335"/>
      <c r="BU1" s="335"/>
      <c r="BV1" s="335"/>
      <c r="BW1" s="335"/>
      <c r="BX1" s="335"/>
      <c r="BY1" s="335"/>
      <c r="BZ1" s="335"/>
      <c r="CA1" s="335"/>
      <c r="CB1" s="335"/>
      <c r="CC1" s="335"/>
      <c r="CD1" s="335"/>
      <c r="CE1" s="335"/>
      <c r="CF1" s="335"/>
      <c r="CG1" s="335"/>
      <c r="CH1" s="335"/>
      <c r="CI1" s="335"/>
      <c r="CJ1" s="335"/>
      <c r="CK1" s="335"/>
      <c r="CL1" s="335"/>
      <c r="CM1" s="335"/>
      <c r="CN1" s="335"/>
      <c r="CO1" s="335"/>
      <c r="CP1" s="335"/>
      <c r="CQ1" s="335"/>
      <c r="CR1" s="335"/>
      <c r="CS1" s="335"/>
      <c r="CT1" s="335"/>
      <c r="CU1" s="335"/>
      <c r="CV1" s="335"/>
      <c r="CW1" s="335"/>
      <c r="CX1" s="335"/>
      <c r="CY1" s="335"/>
      <c r="CZ1" s="335"/>
      <c r="DA1" s="335"/>
      <c r="DB1" s="335"/>
      <c r="DC1" s="335"/>
      <c r="DD1" s="335"/>
      <c r="DE1" s="335"/>
      <c r="DF1" s="335"/>
      <c r="DG1" s="335"/>
      <c r="DH1" s="335"/>
      <c r="DI1" s="335"/>
      <c r="DJ1" s="335"/>
      <c r="DK1" s="335"/>
      <c r="DL1" s="335"/>
      <c r="DM1" s="335"/>
    </row>
    <row r="2" spans="1:117">
      <c r="A2" s="113" t="s">
        <v>95</v>
      </c>
      <c r="B2" s="113" t="s">
        <v>32</v>
      </c>
      <c r="C2" s="112" t="s">
        <v>297</v>
      </c>
      <c r="D2" s="112" t="s">
        <v>296</v>
      </c>
      <c r="E2" s="112" t="s">
        <v>333</v>
      </c>
      <c r="F2" s="113" t="s">
        <v>125</v>
      </c>
      <c r="G2" s="113" t="s">
        <v>99</v>
      </c>
      <c r="H2" s="113" t="s">
        <v>265</v>
      </c>
      <c r="I2" s="113" t="s">
        <v>326</v>
      </c>
      <c r="J2" s="113" t="s">
        <v>325</v>
      </c>
      <c r="K2" s="113" t="s">
        <v>298</v>
      </c>
      <c r="L2" s="113" t="s">
        <v>292</v>
      </c>
      <c r="M2" s="113" t="s">
        <v>314</v>
      </c>
      <c r="N2" s="113" t="s">
        <v>258</v>
      </c>
      <c r="O2" s="113" t="s">
        <v>259</v>
      </c>
      <c r="P2" s="113" t="s">
        <v>260</v>
      </c>
      <c r="Q2" s="113" t="s">
        <v>319</v>
      </c>
      <c r="R2" s="123" t="s">
        <v>320</v>
      </c>
      <c r="S2" s="113" t="s">
        <v>321</v>
      </c>
      <c r="T2" s="113" t="s">
        <v>322</v>
      </c>
      <c r="U2" s="113" t="s">
        <v>323</v>
      </c>
      <c r="V2" s="113" t="s">
        <v>96</v>
      </c>
      <c r="W2" s="113" t="s">
        <v>317</v>
      </c>
      <c r="X2" s="113" t="s">
        <v>261</v>
      </c>
      <c r="Y2" s="113" t="s">
        <v>315</v>
      </c>
      <c r="Z2" s="113" t="s">
        <v>262</v>
      </c>
      <c r="AA2" s="113" t="s">
        <v>263</v>
      </c>
      <c r="AB2" s="113" t="s">
        <v>264</v>
      </c>
      <c r="AC2" s="113" t="s">
        <v>290</v>
      </c>
      <c r="AD2" s="113" t="s">
        <v>330</v>
      </c>
      <c r="AE2" s="113" t="s">
        <v>414</v>
      </c>
      <c r="AF2" s="113" t="s">
        <v>126</v>
      </c>
      <c r="AG2" s="113" t="s">
        <v>329</v>
      </c>
      <c r="AH2" s="113" t="s">
        <v>328</v>
      </c>
      <c r="AI2" s="161">
        <v>0</v>
      </c>
      <c r="AJ2" s="136">
        <v>0</v>
      </c>
      <c r="AK2" s="118">
        <v>1</v>
      </c>
      <c r="AL2" s="118">
        <v>2</v>
      </c>
      <c r="AM2" s="118">
        <v>3</v>
      </c>
      <c r="AN2" s="118">
        <v>4</v>
      </c>
      <c r="AO2" s="118">
        <v>5</v>
      </c>
      <c r="AP2" s="118">
        <v>6</v>
      </c>
      <c r="AQ2" s="118">
        <v>7</v>
      </c>
      <c r="AR2" s="118">
        <v>8</v>
      </c>
      <c r="AS2" s="118">
        <v>9</v>
      </c>
      <c r="AT2" s="118">
        <v>10</v>
      </c>
      <c r="AU2" s="118">
        <v>11</v>
      </c>
      <c r="AV2" s="118">
        <v>12</v>
      </c>
      <c r="AW2" s="118">
        <v>13</v>
      </c>
      <c r="AX2" s="118">
        <v>14</v>
      </c>
      <c r="AY2" s="118">
        <v>15</v>
      </c>
      <c r="AZ2" s="118">
        <v>16</v>
      </c>
      <c r="BA2" s="118">
        <v>17</v>
      </c>
      <c r="BB2" s="118">
        <v>18</v>
      </c>
      <c r="BC2" s="118">
        <v>19</v>
      </c>
      <c r="BD2" s="119">
        <v>20</v>
      </c>
      <c r="BE2" s="118">
        <v>21</v>
      </c>
      <c r="BF2" s="118">
        <v>22</v>
      </c>
      <c r="BG2" s="118">
        <v>23</v>
      </c>
      <c r="BH2" s="118">
        <v>24</v>
      </c>
      <c r="BI2" s="118">
        <v>25</v>
      </c>
      <c r="BJ2" s="118">
        <v>26</v>
      </c>
      <c r="BK2" s="118">
        <v>27</v>
      </c>
      <c r="BL2" s="118">
        <v>28</v>
      </c>
      <c r="BM2" s="118">
        <v>29</v>
      </c>
      <c r="BN2" s="119">
        <v>30</v>
      </c>
      <c r="BO2" s="118">
        <v>31</v>
      </c>
      <c r="BP2" s="118">
        <v>32</v>
      </c>
      <c r="BQ2" s="118">
        <v>33</v>
      </c>
      <c r="BR2" s="118">
        <v>34</v>
      </c>
      <c r="BS2" s="118">
        <v>35</v>
      </c>
      <c r="BT2" s="118">
        <v>36</v>
      </c>
      <c r="BU2" s="118">
        <v>37</v>
      </c>
      <c r="BV2" s="118">
        <v>38</v>
      </c>
      <c r="BW2" s="118">
        <v>39</v>
      </c>
      <c r="BX2" s="118">
        <v>40</v>
      </c>
      <c r="BY2" s="118">
        <v>41</v>
      </c>
      <c r="BZ2" s="118">
        <v>42</v>
      </c>
      <c r="CA2" s="118">
        <v>43</v>
      </c>
      <c r="CB2" s="118">
        <v>44</v>
      </c>
      <c r="CC2" s="118">
        <v>45</v>
      </c>
      <c r="CD2" s="118">
        <v>46</v>
      </c>
      <c r="CE2" s="118">
        <v>47</v>
      </c>
      <c r="CF2" s="118">
        <v>48</v>
      </c>
      <c r="CG2" s="118">
        <v>49</v>
      </c>
      <c r="CH2" s="119">
        <v>50</v>
      </c>
      <c r="CI2" s="118">
        <v>51</v>
      </c>
      <c r="CJ2" s="118">
        <v>52</v>
      </c>
      <c r="CK2" s="118">
        <v>53</v>
      </c>
      <c r="CL2" s="118">
        <v>54</v>
      </c>
      <c r="CM2" s="118">
        <v>55</v>
      </c>
      <c r="CN2" s="118">
        <v>56</v>
      </c>
      <c r="CO2" s="118">
        <v>57</v>
      </c>
      <c r="CP2" s="118">
        <v>58</v>
      </c>
      <c r="CQ2" s="118">
        <v>59</v>
      </c>
      <c r="CR2" s="118">
        <v>60</v>
      </c>
      <c r="CS2" s="118">
        <v>61</v>
      </c>
      <c r="CT2" s="118">
        <v>62</v>
      </c>
      <c r="CU2" s="118">
        <v>63</v>
      </c>
      <c r="CV2" s="118">
        <v>64</v>
      </c>
      <c r="CW2" s="118">
        <v>65</v>
      </c>
      <c r="CX2" s="118">
        <v>66</v>
      </c>
      <c r="CY2" s="118">
        <v>67</v>
      </c>
      <c r="CZ2" s="118">
        <v>68</v>
      </c>
      <c r="DA2" s="118">
        <v>69</v>
      </c>
      <c r="DB2" s="118">
        <v>70</v>
      </c>
      <c r="DC2" s="118">
        <v>71</v>
      </c>
      <c r="DD2" s="118">
        <v>72</v>
      </c>
      <c r="DE2" s="118">
        <v>73</v>
      </c>
      <c r="DF2" s="118">
        <v>74</v>
      </c>
      <c r="DG2" s="118">
        <v>75</v>
      </c>
      <c r="DH2" s="118">
        <v>76</v>
      </c>
      <c r="DI2" s="118">
        <v>77</v>
      </c>
      <c r="DJ2" s="118">
        <v>78</v>
      </c>
      <c r="DK2" s="118">
        <v>79</v>
      </c>
      <c r="DL2" s="119">
        <v>80</v>
      </c>
      <c r="DM2" s="19"/>
    </row>
    <row r="3" spans="1:117" ht="36">
      <c r="A3" s="182" t="s">
        <v>33</v>
      </c>
      <c r="B3" s="182" t="s">
        <v>127</v>
      </c>
      <c r="C3" s="148" t="s">
        <v>128</v>
      </c>
      <c r="D3" s="149" t="s">
        <v>269</v>
      </c>
      <c r="E3" s="180" t="s">
        <v>129</v>
      </c>
      <c r="F3" s="182" t="s">
        <v>29</v>
      </c>
      <c r="G3" s="182">
        <v>60</v>
      </c>
      <c r="H3" s="183">
        <v>2720</v>
      </c>
      <c r="I3" s="184">
        <v>4.97</v>
      </c>
      <c r="J3" s="184" t="s">
        <v>101</v>
      </c>
      <c r="K3" s="182">
        <v>16.2</v>
      </c>
      <c r="L3" s="182" t="s">
        <v>41</v>
      </c>
      <c r="M3" s="185">
        <f>IF(ISBLANK(Materialedata[[#This Row],[A4-gruppe]]),BlankTegn,INDEX(Byggeproces[GWP],MATCH(Materialedata[[#This Row],[A4-gruppe]],Byggeproces[Gruppe/Undergruppe],0)))</f>
        <v>8.6E-3</v>
      </c>
      <c r="N3" s="182">
        <v>0.16</v>
      </c>
      <c r="O3" s="182">
        <v>0</v>
      </c>
      <c r="P3" s="182">
        <v>-7.95</v>
      </c>
      <c r="Q3" s="279">
        <f>Materialedata[[#This Row],[A1-A3/standardenhed]]</f>
        <v>16.2</v>
      </c>
      <c r="R3" s="276" cm="1">
        <f t="array" ref="R3">IFERROR(_xlfn.IFS(Materialedata[[#This Row],[Mængde-enhed]]="kg/m²",Materialedata[[#This Row],[A4/kg]]*Materialedata[[#This Row],[Mængde/m²]],Materialedata[[#This Row],[Mængde-enhed]]="m³/m²",Materialedata[[#This Row],[A4/kg]]*Materialedata[[#This Row],[Mængde/m²]]*Materialedata[[#This Row],[Densitet]]),"N/A")</f>
        <v>4.2741999999999995E-2</v>
      </c>
      <c r="S3" s="188">
        <f>Materialedata[[#This Row],[C3/enhed]]</f>
        <v>0.16</v>
      </c>
      <c r="T3" s="188">
        <f>Materialedata[[#This Row],[C4/enhed]]</f>
        <v>0</v>
      </c>
      <c r="U3" s="188">
        <f>Materialedata[[#This Row],[D/enhed]]</f>
        <v>-7.95</v>
      </c>
      <c r="V3" s="150">
        <f>IFERROR(INDEX(Range_Materiale_Genbrug,MATCH(Materialedata[[#This Row],[Komponent]],Facadekomponenter,0)),BlankTegn)</f>
        <v>0</v>
      </c>
      <c r="W3" s="150">
        <f>IFERROR(1-Materialedata[[#This Row],[Genbrug]],BlankTegn)</f>
        <v>1</v>
      </c>
      <c r="X3" s="186">
        <f>IFERROR(Materialedata[[#This Row],[A1-A3/m²_nyt]]*Materialedata[[#This Row],[Nyt]],BlankTegn)</f>
        <v>16.2</v>
      </c>
      <c r="Y3" s="186">
        <f>Materialedata[[#This Row],[A4/m²_nyt]]</f>
        <v>4.2741999999999995E-2</v>
      </c>
      <c r="Z3" s="186">
        <f>IFERROR(Materialedata[[#This Row],[C3/m²_nyt]]*Materialedata[[#This Row],[Nyt]],BlankTegn)</f>
        <v>0.16</v>
      </c>
      <c r="AA3" s="186">
        <f>IFERROR(Materialedata[[#This Row],[C4/m²_nyt]]*Materialedata[[#This Row],[Nyt]],BlankTegn)</f>
        <v>0</v>
      </c>
      <c r="AB3" s="186">
        <f>IFERROR(Materialedata[[#This Row],[D/m²_nyt]]*Materialedata[[#This Row],[Nyt]],BlankTegn)</f>
        <v>-7.95</v>
      </c>
      <c r="AC3" s="187">
        <v>710.93</v>
      </c>
      <c r="AD3" s="188" t="s">
        <v>29</v>
      </c>
      <c r="AE3" s="182">
        <v>1</v>
      </c>
      <c r="AF3" s="189">
        <f>Materialedata[[#This Row],[Pris/enhed]]*Materialedata[[#This Row],[Omregning]]</f>
        <v>710.93</v>
      </c>
      <c r="AG3" s="190">
        <v>0.03</v>
      </c>
      <c r="AH3" s="191">
        <v>1</v>
      </c>
      <c r="AI3" s="162">
        <v>0</v>
      </c>
      <c r="AJ3" s="141">
        <f>IF(AJ$2&gt;Input_Tidshorisont,BlankTegn,IF(AJ$2=0,SUM(Materialedata[[#This Row],[A1-A3/m²]:[A4/m²]]),
AI3+IF(AJ$2=Input_Tidshorisont,SUM(Materialedata[[#This Row],[C3/m²]:[C4/m²]]),IF(MOD(AJ$2,Materialedata[[#This Row],[Levetid]])=0,SUM(Materialedata[[#This Row],[A1-A3/m²]:[C4/m²]]),0))
))</f>
        <v>16.242742</v>
      </c>
      <c r="AK3" s="141">
        <f>IF(AK$2&gt;Input_Tidshorisont,BlankTegn,IF(AK$2=0,SUM(Materialedata[[#This Row],[A1-A3/m²]:[A4/m²]]),
AJ3+IF(AK$2=Input_Tidshorisont,SUM(Materialedata[[#This Row],[C3/m²]:[C4/m²]]),IF(MOD(AK$2,Materialedata[[#This Row],[Levetid]])=0,SUM(Materialedata[[#This Row],[A1-A3/m²]:[C4/m²]]),0))
))</f>
        <v>16.242742</v>
      </c>
      <c r="AL3" s="141">
        <f>IF(AL$2&gt;Input_Tidshorisont,BlankTegn,IF(AL$2=0,SUM(Materialedata[[#This Row],[A1-A3/m²]:[A4/m²]]),
AK3+IF(AL$2=Input_Tidshorisont,SUM(Materialedata[[#This Row],[C3/m²]:[C4/m²]]),IF(MOD(AL$2,Materialedata[[#This Row],[Levetid]])=0,SUM(Materialedata[[#This Row],[A1-A3/m²]:[C4/m²]]),0))
))</f>
        <v>16.242742</v>
      </c>
      <c r="AM3" s="141">
        <f>IF(AM$2&gt;Input_Tidshorisont,BlankTegn,IF(AM$2=0,SUM(Materialedata[[#This Row],[A1-A3/m²]:[A4/m²]]),
AL3+IF(AM$2=Input_Tidshorisont,SUM(Materialedata[[#This Row],[C3/m²]:[C4/m²]]),IF(MOD(AM$2,Materialedata[[#This Row],[Levetid]])=0,SUM(Materialedata[[#This Row],[A1-A3/m²]:[C4/m²]]),0))
))</f>
        <v>16.242742</v>
      </c>
      <c r="AN3" s="141">
        <f>IF(AN$2&gt;Input_Tidshorisont,BlankTegn,IF(AN$2=0,SUM(Materialedata[[#This Row],[A1-A3/m²]:[A4/m²]]),
AM3+IF(AN$2=Input_Tidshorisont,SUM(Materialedata[[#This Row],[C3/m²]:[C4/m²]]),IF(MOD(AN$2,Materialedata[[#This Row],[Levetid]])=0,SUM(Materialedata[[#This Row],[A1-A3/m²]:[C4/m²]]),0))
))</f>
        <v>16.242742</v>
      </c>
      <c r="AO3" s="141">
        <f>IF(AO$2&gt;Input_Tidshorisont,BlankTegn,IF(AO$2=0,SUM(Materialedata[[#This Row],[A1-A3/m²]:[A4/m²]]),
AN3+IF(AO$2=Input_Tidshorisont,SUM(Materialedata[[#This Row],[C3/m²]:[C4/m²]]),IF(MOD(AO$2,Materialedata[[#This Row],[Levetid]])=0,SUM(Materialedata[[#This Row],[A1-A3/m²]:[C4/m²]]),0))
))</f>
        <v>16.242742</v>
      </c>
      <c r="AP3" s="141">
        <f>IF(AP$2&gt;Input_Tidshorisont,BlankTegn,IF(AP$2=0,SUM(Materialedata[[#This Row],[A1-A3/m²]:[A4/m²]]),
AO3+IF(AP$2=Input_Tidshorisont,SUM(Materialedata[[#This Row],[C3/m²]:[C4/m²]]),IF(MOD(AP$2,Materialedata[[#This Row],[Levetid]])=0,SUM(Materialedata[[#This Row],[A1-A3/m²]:[C4/m²]]),0))
))</f>
        <v>16.242742</v>
      </c>
      <c r="AQ3" s="141">
        <f>IF(AQ$2&gt;Input_Tidshorisont,BlankTegn,IF(AQ$2=0,SUM(Materialedata[[#This Row],[A1-A3/m²]:[A4/m²]]),
AP3+IF(AQ$2=Input_Tidshorisont,SUM(Materialedata[[#This Row],[C3/m²]:[C4/m²]]),IF(MOD(AQ$2,Materialedata[[#This Row],[Levetid]])=0,SUM(Materialedata[[#This Row],[A1-A3/m²]:[C4/m²]]),0))
))</f>
        <v>16.242742</v>
      </c>
      <c r="AR3" s="141">
        <f>IF(AR$2&gt;Input_Tidshorisont,BlankTegn,IF(AR$2=0,SUM(Materialedata[[#This Row],[A1-A3/m²]:[A4/m²]]),
AQ3+IF(AR$2=Input_Tidshorisont,SUM(Materialedata[[#This Row],[C3/m²]:[C4/m²]]),IF(MOD(AR$2,Materialedata[[#This Row],[Levetid]])=0,SUM(Materialedata[[#This Row],[A1-A3/m²]:[C4/m²]]),0))
))</f>
        <v>16.242742</v>
      </c>
      <c r="AS3" s="141">
        <f>IF(AS$2&gt;Input_Tidshorisont,BlankTegn,IF(AS$2=0,SUM(Materialedata[[#This Row],[A1-A3/m²]:[A4/m²]]),
AR3+IF(AS$2=Input_Tidshorisont,SUM(Materialedata[[#This Row],[C3/m²]:[C4/m²]]),IF(MOD(AS$2,Materialedata[[#This Row],[Levetid]])=0,SUM(Materialedata[[#This Row],[A1-A3/m²]:[C4/m²]]),0))
))</f>
        <v>16.242742</v>
      </c>
      <c r="AT3" s="141">
        <f>IF(AT$2&gt;Input_Tidshorisont,BlankTegn,IF(AT$2=0,SUM(Materialedata[[#This Row],[A1-A3/m²]:[A4/m²]]),
AS3+IF(AT$2=Input_Tidshorisont,SUM(Materialedata[[#This Row],[C3/m²]:[C4/m²]]),IF(MOD(AT$2,Materialedata[[#This Row],[Levetid]])=0,SUM(Materialedata[[#This Row],[A1-A3/m²]:[C4/m²]]),0))
))</f>
        <v>16.242742</v>
      </c>
      <c r="AU3" s="141">
        <f>IF(AU$2&gt;Input_Tidshorisont,BlankTegn,IF(AU$2=0,SUM(Materialedata[[#This Row],[A1-A3/m²]:[A4/m²]]),
AT3+IF(AU$2=Input_Tidshorisont,SUM(Materialedata[[#This Row],[C3/m²]:[C4/m²]]),IF(MOD(AU$2,Materialedata[[#This Row],[Levetid]])=0,SUM(Materialedata[[#This Row],[A1-A3/m²]:[C4/m²]]),0))
))</f>
        <v>16.242742</v>
      </c>
      <c r="AV3" s="141">
        <f>IF(AV$2&gt;Input_Tidshorisont,BlankTegn,IF(AV$2=0,SUM(Materialedata[[#This Row],[A1-A3/m²]:[A4/m²]]),
AU3+IF(AV$2=Input_Tidshorisont,SUM(Materialedata[[#This Row],[C3/m²]:[C4/m²]]),IF(MOD(AV$2,Materialedata[[#This Row],[Levetid]])=0,SUM(Materialedata[[#This Row],[A1-A3/m²]:[C4/m²]]),0))
))</f>
        <v>16.242742</v>
      </c>
      <c r="AW3" s="141">
        <f>IF(AW$2&gt;Input_Tidshorisont,BlankTegn,IF(AW$2=0,SUM(Materialedata[[#This Row],[A1-A3/m²]:[A4/m²]]),
AV3+IF(AW$2=Input_Tidshorisont,SUM(Materialedata[[#This Row],[C3/m²]:[C4/m²]]),IF(MOD(AW$2,Materialedata[[#This Row],[Levetid]])=0,SUM(Materialedata[[#This Row],[A1-A3/m²]:[C4/m²]]),0))
))</f>
        <v>16.242742</v>
      </c>
      <c r="AX3" s="141">
        <f>IF(AX$2&gt;Input_Tidshorisont,BlankTegn,IF(AX$2=0,SUM(Materialedata[[#This Row],[A1-A3/m²]:[A4/m²]]),
AW3+IF(AX$2=Input_Tidshorisont,SUM(Materialedata[[#This Row],[C3/m²]:[C4/m²]]),IF(MOD(AX$2,Materialedata[[#This Row],[Levetid]])=0,SUM(Materialedata[[#This Row],[A1-A3/m²]:[C4/m²]]),0))
))</f>
        <v>16.242742</v>
      </c>
      <c r="AY3" s="141">
        <f>IF(AY$2&gt;Input_Tidshorisont,BlankTegn,IF(AY$2=0,SUM(Materialedata[[#This Row],[A1-A3/m²]:[A4/m²]]),
AX3+IF(AY$2=Input_Tidshorisont,SUM(Materialedata[[#This Row],[C3/m²]:[C4/m²]]),IF(MOD(AY$2,Materialedata[[#This Row],[Levetid]])=0,SUM(Materialedata[[#This Row],[A1-A3/m²]:[C4/m²]]),0))
))</f>
        <v>16.242742</v>
      </c>
      <c r="AZ3" s="141">
        <f>IF(AZ$2&gt;Input_Tidshorisont,BlankTegn,IF(AZ$2=0,SUM(Materialedata[[#This Row],[A1-A3/m²]:[A4/m²]]),
AY3+IF(AZ$2=Input_Tidshorisont,SUM(Materialedata[[#This Row],[C3/m²]:[C4/m²]]),IF(MOD(AZ$2,Materialedata[[#This Row],[Levetid]])=0,SUM(Materialedata[[#This Row],[A1-A3/m²]:[C4/m²]]),0))
))</f>
        <v>16.242742</v>
      </c>
      <c r="BA3" s="141">
        <f>IF(BA$2&gt;Input_Tidshorisont,BlankTegn,IF(BA$2=0,SUM(Materialedata[[#This Row],[A1-A3/m²]:[A4/m²]]),
AZ3+IF(BA$2=Input_Tidshorisont,SUM(Materialedata[[#This Row],[C3/m²]:[C4/m²]]),IF(MOD(BA$2,Materialedata[[#This Row],[Levetid]])=0,SUM(Materialedata[[#This Row],[A1-A3/m²]:[C4/m²]]),0))
))</f>
        <v>16.242742</v>
      </c>
      <c r="BB3" s="141">
        <f>IF(BB$2&gt;Input_Tidshorisont,BlankTegn,IF(BB$2=0,SUM(Materialedata[[#This Row],[A1-A3/m²]:[A4/m²]]),
BA3+IF(BB$2=Input_Tidshorisont,SUM(Materialedata[[#This Row],[C3/m²]:[C4/m²]]),IF(MOD(BB$2,Materialedata[[#This Row],[Levetid]])=0,SUM(Materialedata[[#This Row],[A1-A3/m²]:[C4/m²]]),0))
))</f>
        <v>16.242742</v>
      </c>
      <c r="BC3" s="141">
        <f>IF(BC$2&gt;Input_Tidshorisont,BlankTegn,IF(BC$2=0,SUM(Materialedata[[#This Row],[A1-A3/m²]:[A4/m²]]),
BB3+IF(BC$2=Input_Tidshorisont,SUM(Materialedata[[#This Row],[C3/m²]:[C4/m²]]),IF(MOD(BC$2,Materialedata[[#This Row],[Levetid]])=0,SUM(Materialedata[[#This Row],[A1-A3/m²]:[C4/m²]]),0))
))</f>
        <v>16.242742</v>
      </c>
      <c r="BD3" s="141">
        <f>IF(BD$2&gt;Input_Tidshorisont,BlankTegn,IF(BD$2=0,SUM(Materialedata[[#This Row],[A1-A3/m²]:[A4/m²]]),
BC3+IF(BD$2=Input_Tidshorisont,SUM(Materialedata[[#This Row],[C3/m²]:[C4/m²]]),IF(MOD(BD$2,Materialedata[[#This Row],[Levetid]])=0,SUM(Materialedata[[#This Row],[A1-A3/m²]:[C4/m²]]),0))
))</f>
        <v>16.242742</v>
      </c>
      <c r="BE3" s="141">
        <f>IF(BE$2&gt;Input_Tidshorisont,BlankTegn,IF(BE$2=0,SUM(Materialedata[[#This Row],[A1-A3/m²]:[A4/m²]]),
BD3+IF(BE$2=Input_Tidshorisont,SUM(Materialedata[[#This Row],[C3/m²]:[C4/m²]]),IF(MOD(BE$2,Materialedata[[#This Row],[Levetid]])=0,SUM(Materialedata[[#This Row],[A1-A3/m²]:[C4/m²]]),0))
))</f>
        <v>16.242742</v>
      </c>
      <c r="BF3" s="141">
        <f>IF(BF$2&gt;Input_Tidshorisont,BlankTegn,IF(BF$2=0,SUM(Materialedata[[#This Row],[A1-A3/m²]:[A4/m²]]),
BE3+IF(BF$2=Input_Tidshorisont,SUM(Materialedata[[#This Row],[C3/m²]:[C4/m²]]),IF(MOD(BF$2,Materialedata[[#This Row],[Levetid]])=0,SUM(Materialedata[[#This Row],[A1-A3/m²]:[C4/m²]]),0))
))</f>
        <v>16.242742</v>
      </c>
      <c r="BG3" s="141">
        <f>IF(BG$2&gt;Input_Tidshorisont,BlankTegn,IF(BG$2=0,SUM(Materialedata[[#This Row],[A1-A3/m²]:[A4/m²]]),
BF3+IF(BG$2=Input_Tidshorisont,SUM(Materialedata[[#This Row],[C3/m²]:[C4/m²]]),IF(MOD(BG$2,Materialedata[[#This Row],[Levetid]])=0,SUM(Materialedata[[#This Row],[A1-A3/m²]:[C4/m²]]),0))
))</f>
        <v>16.242742</v>
      </c>
      <c r="BH3" s="141">
        <f>IF(BH$2&gt;Input_Tidshorisont,BlankTegn,IF(BH$2=0,SUM(Materialedata[[#This Row],[A1-A3/m²]:[A4/m²]]),
BG3+IF(BH$2=Input_Tidshorisont,SUM(Materialedata[[#This Row],[C3/m²]:[C4/m²]]),IF(MOD(BH$2,Materialedata[[#This Row],[Levetid]])=0,SUM(Materialedata[[#This Row],[A1-A3/m²]:[C4/m²]]),0))
))</f>
        <v>16.242742</v>
      </c>
      <c r="BI3" s="141">
        <f>IF(BI$2&gt;Input_Tidshorisont,BlankTegn,IF(BI$2=0,SUM(Materialedata[[#This Row],[A1-A3/m²]:[A4/m²]]),
BH3+IF(BI$2=Input_Tidshorisont,SUM(Materialedata[[#This Row],[C3/m²]:[C4/m²]]),IF(MOD(BI$2,Materialedata[[#This Row],[Levetid]])=0,SUM(Materialedata[[#This Row],[A1-A3/m²]:[C4/m²]]),0))
))</f>
        <v>16.242742</v>
      </c>
      <c r="BJ3" s="141">
        <f>IF(BJ$2&gt;Input_Tidshorisont,BlankTegn,IF(BJ$2=0,SUM(Materialedata[[#This Row],[A1-A3/m²]:[A4/m²]]),
BI3+IF(BJ$2=Input_Tidshorisont,SUM(Materialedata[[#This Row],[C3/m²]:[C4/m²]]),IF(MOD(BJ$2,Materialedata[[#This Row],[Levetid]])=0,SUM(Materialedata[[#This Row],[A1-A3/m²]:[C4/m²]]),0))
))</f>
        <v>16.242742</v>
      </c>
      <c r="BK3" s="141">
        <f>IF(BK$2&gt;Input_Tidshorisont,BlankTegn,IF(BK$2=0,SUM(Materialedata[[#This Row],[A1-A3/m²]:[A4/m²]]),
BJ3+IF(BK$2=Input_Tidshorisont,SUM(Materialedata[[#This Row],[C3/m²]:[C4/m²]]),IF(MOD(BK$2,Materialedata[[#This Row],[Levetid]])=0,SUM(Materialedata[[#This Row],[A1-A3/m²]:[C4/m²]]),0))
))</f>
        <v>16.242742</v>
      </c>
      <c r="BL3" s="141">
        <f>IF(BL$2&gt;Input_Tidshorisont,BlankTegn,IF(BL$2=0,SUM(Materialedata[[#This Row],[A1-A3/m²]:[A4/m²]]),
BK3+IF(BL$2=Input_Tidshorisont,SUM(Materialedata[[#This Row],[C3/m²]:[C4/m²]]),IF(MOD(BL$2,Materialedata[[#This Row],[Levetid]])=0,SUM(Materialedata[[#This Row],[A1-A3/m²]:[C4/m²]]),0))
))</f>
        <v>16.242742</v>
      </c>
      <c r="BM3" s="141">
        <f>IF(BM$2&gt;Input_Tidshorisont,BlankTegn,IF(BM$2=0,SUM(Materialedata[[#This Row],[A1-A3/m²]:[A4/m²]]),
BL3+IF(BM$2=Input_Tidshorisont,SUM(Materialedata[[#This Row],[C3/m²]:[C4/m²]]),IF(MOD(BM$2,Materialedata[[#This Row],[Levetid]])=0,SUM(Materialedata[[#This Row],[A1-A3/m²]:[C4/m²]]),0))
))</f>
        <v>16.242742</v>
      </c>
      <c r="BN3" s="141">
        <f>IF(BN$2&gt;Input_Tidshorisont,BlankTegn,IF(BN$2=0,SUM(Materialedata[[#This Row],[A1-A3/m²]:[A4/m²]]),
BM3+IF(BN$2=Input_Tidshorisont,SUM(Materialedata[[#This Row],[C3/m²]:[C4/m²]]),IF(MOD(BN$2,Materialedata[[#This Row],[Levetid]])=0,SUM(Materialedata[[#This Row],[A1-A3/m²]:[C4/m²]]),0))
))</f>
        <v>16.242742</v>
      </c>
      <c r="BO3" s="141">
        <f>IF(BO$2&gt;Input_Tidshorisont,BlankTegn,IF(BO$2=0,SUM(Materialedata[[#This Row],[A1-A3/m²]:[A4/m²]]),
BN3+IF(BO$2=Input_Tidshorisont,SUM(Materialedata[[#This Row],[C3/m²]:[C4/m²]]),IF(MOD(BO$2,Materialedata[[#This Row],[Levetid]])=0,SUM(Materialedata[[#This Row],[A1-A3/m²]:[C4/m²]]),0))
))</f>
        <v>16.242742</v>
      </c>
      <c r="BP3" s="141">
        <f>IF(BP$2&gt;Input_Tidshorisont,BlankTegn,IF(BP$2=0,SUM(Materialedata[[#This Row],[A1-A3/m²]:[A4/m²]]),
BO3+IF(BP$2=Input_Tidshorisont,SUM(Materialedata[[#This Row],[C3/m²]:[C4/m²]]),IF(MOD(BP$2,Materialedata[[#This Row],[Levetid]])=0,SUM(Materialedata[[#This Row],[A1-A3/m²]:[C4/m²]]),0))
))</f>
        <v>16.242742</v>
      </c>
      <c r="BQ3" s="141">
        <f>IF(BQ$2&gt;Input_Tidshorisont,BlankTegn,IF(BQ$2=0,SUM(Materialedata[[#This Row],[A1-A3/m²]:[A4/m²]]),
BP3+IF(BQ$2=Input_Tidshorisont,SUM(Materialedata[[#This Row],[C3/m²]:[C4/m²]]),IF(MOD(BQ$2,Materialedata[[#This Row],[Levetid]])=0,SUM(Materialedata[[#This Row],[A1-A3/m²]:[C4/m²]]),0))
))</f>
        <v>16.242742</v>
      </c>
      <c r="BR3" s="141">
        <f>IF(BR$2&gt;Input_Tidshorisont,BlankTegn,IF(BR$2=0,SUM(Materialedata[[#This Row],[A1-A3/m²]:[A4/m²]]),
BQ3+IF(BR$2=Input_Tidshorisont,SUM(Materialedata[[#This Row],[C3/m²]:[C4/m²]]),IF(MOD(BR$2,Materialedata[[#This Row],[Levetid]])=0,SUM(Materialedata[[#This Row],[A1-A3/m²]:[C4/m²]]),0))
))</f>
        <v>16.242742</v>
      </c>
      <c r="BS3" s="141">
        <f>IF(BS$2&gt;Input_Tidshorisont,BlankTegn,IF(BS$2=0,SUM(Materialedata[[#This Row],[A1-A3/m²]:[A4/m²]]),
BR3+IF(BS$2=Input_Tidshorisont,SUM(Materialedata[[#This Row],[C3/m²]:[C4/m²]]),IF(MOD(BS$2,Materialedata[[#This Row],[Levetid]])=0,SUM(Materialedata[[#This Row],[A1-A3/m²]:[C4/m²]]),0))
))</f>
        <v>16.242742</v>
      </c>
      <c r="BT3" s="141">
        <f>IF(BT$2&gt;Input_Tidshorisont,BlankTegn,IF(BT$2=0,SUM(Materialedata[[#This Row],[A1-A3/m²]:[A4/m²]]),
BS3+IF(BT$2=Input_Tidshorisont,SUM(Materialedata[[#This Row],[C3/m²]:[C4/m²]]),IF(MOD(BT$2,Materialedata[[#This Row],[Levetid]])=0,SUM(Materialedata[[#This Row],[A1-A3/m²]:[C4/m²]]),0))
))</f>
        <v>16.242742</v>
      </c>
      <c r="BU3" s="141">
        <f>IF(BU$2&gt;Input_Tidshorisont,BlankTegn,IF(BU$2=0,SUM(Materialedata[[#This Row],[A1-A3/m²]:[A4/m²]]),
BT3+IF(BU$2=Input_Tidshorisont,SUM(Materialedata[[#This Row],[C3/m²]:[C4/m²]]),IF(MOD(BU$2,Materialedata[[#This Row],[Levetid]])=0,SUM(Materialedata[[#This Row],[A1-A3/m²]:[C4/m²]]),0))
))</f>
        <v>16.242742</v>
      </c>
      <c r="BV3" s="141">
        <f>IF(BV$2&gt;Input_Tidshorisont,BlankTegn,IF(BV$2=0,SUM(Materialedata[[#This Row],[A1-A3/m²]:[A4/m²]]),
BU3+IF(BV$2=Input_Tidshorisont,SUM(Materialedata[[#This Row],[C3/m²]:[C4/m²]]),IF(MOD(BV$2,Materialedata[[#This Row],[Levetid]])=0,SUM(Materialedata[[#This Row],[A1-A3/m²]:[C4/m²]]),0))
))</f>
        <v>16.242742</v>
      </c>
      <c r="BW3" s="141">
        <f>IF(BW$2&gt;Input_Tidshorisont,BlankTegn,IF(BW$2=0,SUM(Materialedata[[#This Row],[A1-A3/m²]:[A4/m²]]),
BV3+IF(BW$2=Input_Tidshorisont,SUM(Materialedata[[#This Row],[C3/m²]:[C4/m²]]),IF(MOD(BW$2,Materialedata[[#This Row],[Levetid]])=0,SUM(Materialedata[[#This Row],[A1-A3/m²]:[C4/m²]]),0))
))</f>
        <v>16.242742</v>
      </c>
      <c r="BX3" s="141">
        <f>IF(BX$2&gt;Input_Tidshorisont,BlankTegn,IF(BX$2=0,SUM(Materialedata[[#This Row],[A1-A3/m²]:[A4/m²]]),
BW3+IF(BX$2=Input_Tidshorisont,SUM(Materialedata[[#This Row],[C3/m²]:[C4/m²]]),IF(MOD(BX$2,Materialedata[[#This Row],[Levetid]])=0,SUM(Materialedata[[#This Row],[A1-A3/m²]:[C4/m²]]),0))
))</f>
        <v>16.242742</v>
      </c>
      <c r="BY3" s="141">
        <f>IF(BY$2&gt;Input_Tidshorisont,BlankTegn,IF(BY$2=0,SUM(Materialedata[[#This Row],[A1-A3/m²]:[A4/m²]]),
BX3+IF(BY$2=Input_Tidshorisont,SUM(Materialedata[[#This Row],[C3/m²]:[C4/m²]]),IF(MOD(BY$2,Materialedata[[#This Row],[Levetid]])=0,SUM(Materialedata[[#This Row],[A1-A3/m²]:[C4/m²]]),0))
))</f>
        <v>16.242742</v>
      </c>
      <c r="BZ3" s="141">
        <f>IF(BZ$2&gt;Input_Tidshorisont,BlankTegn,IF(BZ$2=0,SUM(Materialedata[[#This Row],[A1-A3/m²]:[A4/m²]]),
BY3+IF(BZ$2=Input_Tidshorisont,SUM(Materialedata[[#This Row],[C3/m²]:[C4/m²]]),IF(MOD(BZ$2,Materialedata[[#This Row],[Levetid]])=0,SUM(Materialedata[[#This Row],[A1-A3/m²]:[C4/m²]]),0))
))</f>
        <v>16.242742</v>
      </c>
      <c r="CA3" s="141">
        <f>IF(CA$2&gt;Input_Tidshorisont,BlankTegn,IF(CA$2=0,SUM(Materialedata[[#This Row],[A1-A3/m²]:[A4/m²]]),
BZ3+IF(CA$2=Input_Tidshorisont,SUM(Materialedata[[#This Row],[C3/m²]:[C4/m²]]),IF(MOD(CA$2,Materialedata[[#This Row],[Levetid]])=0,SUM(Materialedata[[#This Row],[A1-A3/m²]:[C4/m²]]),0))
))</f>
        <v>16.242742</v>
      </c>
      <c r="CB3" s="141">
        <f>IF(CB$2&gt;Input_Tidshorisont,BlankTegn,IF(CB$2=0,SUM(Materialedata[[#This Row],[A1-A3/m²]:[A4/m²]]),
CA3+IF(CB$2=Input_Tidshorisont,SUM(Materialedata[[#This Row],[C3/m²]:[C4/m²]]),IF(MOD(CB$2,Materialedata[[#This Row],[Levetid]])=0,SUM(Materialedata[[#This Row],[A1-A3/m²]:[C4/m²]]),0))
))</f>
        <v>16.242742</v>
      </c>
      <c r="CC3" s="141">
        <f>IF(CC$2&gt;Input_Tidshorisont,BlankTegn,IF(CC$2=0,SUM(Materialedata[[#This Row],[A1-A3/m²]:[A4/m²]]),
CB3+IF(CC$2=Input_Tidshorisont,SUM(Materialedata[[#This Row],[C3/m²]:[C4/m²]]),IF(MOD(CC$2,Materialedata[[#This Row],[Levetid]])=0,SUM(Materialedata[[#This Row],[A1-A3/m²]:[C4/m²]]),0))
))</f>
        <v>16.242742</v>
      </c>
      <c r="CD3" s="141">
        <f>IF(CD$2&gt;Input_Tidshorisont,BlankTegn,IF(CD$2=0,SUM(Materialedata[[#This Row],[A1-A3/m²]:[A4/m²]]),
CC3+IF(CD$2=Input_Tidshorisont,SUM(Materialedata[[#This Row],[C3/m²]:[C4/m²]]),IF(MOD(CD$2,Materialedata[[#This Row],[Levetid]])=0,SUM(Materialedata[[#This Row],[A1-A3/m²]:[C4/m²]]),0))
))</f>
        <v>16.242742</v>
      </c>
      <c r="CE3" s="141">
        <f>IF(CE$2&gt;Input_Tidshorisont,BlankTegn,IF(CE$2=0,SUM(Materialedata[[#This Row],[A1-A3/m²]:[A4/m²]]),
CD3+IF(CE$2=Input_Tidshorisont,SUM(Materialedata[[#This Row],[C3/m²]:[C4/m²]]),IF(MOD(CE$2,Materialedata[[#This Row],[Levetid]])=0,SUM(Materialedata[[#This Row],[A1-A3/m²]:[C4/m²]]),0))
))</f>
        <v>16.242742</v>
      </c>
      <c r="CF3" s="141">
        <f>IF(CF$2&gt;Input_Tidshorisont,BlankTegn,IF(CF$2=0,SUM(Materialedata[[#This Row],[A1-A3/m²]:[A4/m²]]),
CE3+IF(CF$2=Input_Tidshorisont,SUM(Materialedata[[#This Row],[C3/m²]:[C4/m²]]),IF(MOD(CF$2,Materialedata[[#This Row],[Levetid]])=0,SUM(Materialedata[[#This Row],[A1-A3/m²]:[C4/m²]]),0))
))</f>
        <v>16.242742</v>
      </c>
      <c r="CG3" s="141">
        <f>IF(CG$2&gt;Input_Tidshorisont,BlankTegn,IF(CG$2=0,SUM(Materialedata[[#This Row],[A1-A3/m²]:[A4/m²]]),
CF3+IF(CG$2=Input_Tidshorisont,SUM(Materialedata[[#This Row],[C3/m²]:[C4/m²]]),IF(MOD(CG$2,Materialedata[[#This Row],[Levetid]])=0,SUM(Materialedata[[#This Row],[A1-A3/m²]:[C4/m²]]),0))
))</f>
        <v>16.242742</v>
      </c>
      <c r="CH3" s="141">
        <f>IF(CH$2&gt;Input_Tidshorisont,BlankTegn,IF(CH$2=0,SUM(Materialedata[[#This Row],[A1-A3/m²]:[A4/m²]]),
CG3+IF(CH$2=Input_Tidshorisont,SUM(Materialedata[[#This Row],[C3/m²]:[C4/m²]]),IF(MOD(CH$2,Materialedata[[#This Row],[Levetid]])=0,SUM(Materialedata[[#This Row],[A1-A3/m²]:[C4/m²]]),0))
))</f>
        <v>16.402742</v>
      </c>
      <c r="CI3" s="141" t="str">
        <f>IF(CI$2&gt;Input_Tidshorisont,BlankTegn,IF(CI$2=0,SUM(Materialedata[[#This Row],[A1-A3/m²]:[A4/m²]]),
CH3+IF(CI$2=Input_Tidshorisont,SUM(Materialedata[[#This Row],[C3/m²]:[C4/m²]]),IF(MOD(CI$2,Materialedata[[#This Row],[Levetid]])=0,SUM(Materialedata[[#This Row],[A1-A3/m²]:[C4/m²]]),0))
))</f>
        <v>.</v>
      </c>
      <c r="CJ3" s="141" t="str">
        <f>IF(CJ$2&gt;Input_Tidshorisont,BlankTegn,IF(CJ$2=0,SUM(Materialedata[[#This Row],[A1-A3/m²]:[A4/m²]]),
CI3+IF(CJ$2=Input_Tidshorisont,SUM(Materialedata[[#This Row],[C3/m²]:[C4/m²]]),IF(MOD(CJ$2,Materialedata[[#This Row],[Levetid]])=0,SUM(Materialedata[[#This Row],[A1-A3/m²]:[C4/m²]]),0))
))</f>
        <v>.</v>
      </c>
      <c r="CK3" s="141" t="str">
        <f>IF(CK$2&gt;Input_Tidshorisont,BlankTegn,IF(CK$2=0,SUM(Materialedata[[#This Row],[A1-A3/m²]:[A4/m²]]),
CJ3+IF(CK$2=Input_Tidshorisont,SUM(Materialedata[[#This Row],[C3/m²]:[C4/m²]]),IF(MOD(CK$2,Materialedata[[#This Row],[Levetid]])=0,SUM(Materialedata[[#This Row],[A1-A3/m²]:[C4/m²]]),0))
))</f>
        <v>.</v>
      </c>
      <c r="CL3" s="141" t="str">
        <f>IF(CL$2&gt;Input_Tidshorisont,BlankTegn,IF(CL$2=0,SUM(Materialedata[[#This Row],[A1-A3/m²]:[A4/m²]]),
CK3+IF(CL$2=Input_Tidshorisont,SUM(Materialedata[[#This Row],[C3/m²]:[C4/m²]]),IF(MOD(CL$2,Materialedata[[#This Row],[Levetid]])=0,SUM(Materialedata[[#This Row],[A1-A3/m²]:[C4/m²]]),0))
))</f>
        <v>.</v>
      </c>
      <c r="CM3" s="141" t="str">
        <f>IF(CM$2&gt;Input_Tidshorisont,BlankTegn,IF(CM$2=0,SUM(Materialedata[[#This Row],[A1-A3/m²]:[A4/m²]]),
CL3+IF(CM$2=Input_Tidshorisont,SUM(Materialedata[[#This Row],[C3/m²]:[C4/m²]]),IF(MOD(CM$2,Materialedata[[#This Row],[Levetid]])=0,SUM(Materialedata[[#This Row],[A1-A3/m²]:[C4/m²]]),0))
))</f>
        <v>.</v>
      </c>
      <c r="CN3" s="141" t="str">
        <f>IF(CN$2&gt;Input_Tidshorisont,BlankTegn,IF(CN$2=0,SUM(Materialedata[[#This Row],[A1-A3/m²]:[A4/m²]]),
CM3+IF(CN$2=Input_Tidshorisont,SUM(Materialedata[[#This Row],[C3/m²]:[C4/m²]]),IF(MOD(CN$2,Materialedata[[#This Row],[Levetid]])=0,SUM(Materialedata[[#This Row],[A1-A3/m²]:[C4/m²]]),0))
))</f>
        <v>.</v>
      </c>
      <c r="CO3" s="141" t="str">
        <f>IF(CO$2&gt;Input_Tidshorisont,BlankTegn,IF(CO$2=0,SUM(Materialedata[[#This Row],[A1-A3/m²]:[A4/m²]]),
CN3+IF(CO$2=Input_Tidshorisont,SUM(Materialedata[[#This Row],[C3/m²]:[C4/m²]]),IF(MOD(CO$2,Materialedata[[#This Row],[Levetid]])=0,SUM(Materialedata[[#This Row],[A1-A3/m²]:[C4/m²]]),0))
))</f>
        <v>.</v>
      </c>
      <c r="CP3" s="141" t="str">
        <f>IF(CP$2&gt;Input_Tidshorisont,BlankTegn,IF(CP$2=0,SUM(Materialedata[[#This Row],[A1-A3/m²]:[A4/m²]]),
CO3+IF(CP$2=Input_Tidshorisont,SUM(Materialedata[[#This Row],[C3/m²]:[C4/m²]]),IF(MOD(CP$2,Materialedata[[#This Row],[Levetid]])=0,SUM(Materialedata[[#This Row],[A1-A3/m²]:[C4/m²]]),0))
))</f>
        <v>.</v>
      </c>
      <c r="CQ3" s="141" t="str">
        <f>IF(CQ$2&gt;Input_Tidshorisont,BlankTegn,IF(CQ$2=0,SUM(Materialedata[[#This Row],[A1-A3/m²]:[A4/m²]]),
CP3+IF(CQ$2=Input_Tidshorisont,SUM(Materialedata[[#This Row],[C3/m²]:[C4/m²]]),IF(MOD(CQ$2,Materialedata[[#This Row],[Levetid]])=0,SUM(Materialedata[[#This Row],[A1-A3/m²]:[C4/m²]]),0))
))</f>
        <v>.</v>
      </c>
      <c r="CR3" s="141" t="str">
        <f>IF(CR$2&gt;Input_Tidshorisont,BlankTegn,IF(CR$2=0,SUM(Materialedata[[#This Row],[A1-A3/m²]:[A4/m²]]),
CQ3+IF(CR$2=Input_Tidshorisont,SUM(Materialedata[[#This Row],[C3/m²]:[C4/m²]]),IF(MOD(CR$2,Materialedata[[#This Row],[Levetid]])=0,SUM(Materialedata[[#This Row],[A1-A3/m²]:[C4/m²]]),0))
))</f>
        <v>.</v>
      </c>
      <c r="CS3" s="141" t="str">
        <f>IF(CS$2&gt;Input_Tidshorisont,BlankTegn,IF(CS$2=0,SUM(Materialedata[[#This Row],[A1-A3/m²]:[A4/m²]]),
CR3+IF(CS$2=Input_Tidshorisont,SUM(Materialedata[[#This Row],[C3/m²]:[C4/m²]]),IF(MOD(CS$2,Materialedata[[#This Row],[Levetid]])=0,SUM(Materialedata[[#This Row],[A1-A3/m²]:[C4/m²]]),0))
))</f>
        <v>.</v>
      </c>
      <c r="CT3" s="141" t="str">
        <f>IF(CT$2&gt;Input_Tidshorisont,BlankTegn,IF(CT$2=0,SUM(Materialedata[[#This Row],[A1-A3/m²]:[A4/m²]]),
CS3+IF(CT$2=Input_Tidshorisont,SUM(Materialedata[[#This Row],[C3/m²]:[C4/m²]]),IF(MOD(CT$2,Materialedata[[#This Row],[Levetid]])=0,SUM(Materialedata[[#This Row],[A1-A3/m²]:[C4/m²]]),0))
))</f>
        <v>.</v>
      </c>
      <c r="CU3" s="141" t="str">
        <f>IF(CU$2&gt;Input_Tidshorisont,BlankTegn,IF(CU$2=0,SUM(Materialedata[[#This Row],[A1-A3/m²]:[A4/m²]]),
CT3+IF(CU$2=Input_Tidshorisont,SUM(Materialedata[[#This Row],[C3/m²]:[C4/m²]]),IF(MOD(CU$2,Materialedata[[#This Row],[Levetid]])=0,SUM(Materialedata[[#This Row],[A1-A3/m²]:[C4/m²]]),0))
))</f>
        <v>.</v>
      </c>
      <c r="CV3" s="141" t="str">
        <f>IF(CV$2&gt;Input_Tidshorisont,BlankTegn,IF(CV$2=0,SUM(Materialedata[[#This Row],[A1-A3/m²]:[A4/m²]]),
CU3+IF(CV$2=Input_Tidshorisont,SUM(Materialedata[[#This Row],[C3/m²]:[C4/m²]]),IF(MOD(CV$2,Materialedata[[#This Row],[Levetid]])=0,SUM(Materialedata[[#This Row],[A1-A3/m²]:[C4/m²]]),0))
))</f>
        <v>.</v>
      </c>
      <c r="CW3" s="141" t="str">
        <f>IF(CW$2&gt;Input_Tidshorisont,BlankTegn,IF(CW$2=0,SUM(Materialedata[[#This Row],[A1-A3/m²]:[A4/m²]]),
CV3+IF(CW$2=Input_Tidshorisont,SUM(Materialedata[[#This Row],[C3/m²]:[C4/m²]]),IF(MOD(CW$2,Materialedata[[#This Row],[Levetid]])=0,SUM(Materialedata[[#This Row],[A1-A3/m²]:[C4/m²]]),0))
))</f>
        <v>.</v>
      </c>
      <c r="CX3" s="141" t="str">
        <f>IF(CX$2&gt;Input_Tidshorisont,BlankTegn,IF(CX$2=0,SUM(Materialedata[[#This Row],[A1-A3/m²]:[A4/m²]]),
CW3+IF(CX$2=Input_Tidshorisont,SUM(Materialedata[[#This Row],[C3/m²]:[C4/m²]]),IF(MOD(CX$2,Materialedata[[#This Row],[Levetid]])=0,SUM(Materialedata[[#This Row],[A1-A3/m²]:[C4/m²]]),0))
))</f>
        <v>.</v>
      </c>
      <c r="CY3" s="141" t="str">
        <f>IF(CY$2&gt;Input_Tidshorisont,BlankTegn,IF(CY$2=0,SUM(Materialedata[[#This Row],[A1-A3/m²]:[A4/m²]]),
CX3+IF(CY$2=Input_Tidshorisont,SUM(Materialedata[[#This Row],[C3/m²]:[C4/m²]]),IF(MOD(CY$2,Materialedata[[#This Row],[Levetid]])=0,SUM(Materialedata[[#This Row],[A1-A3/m²]:[C4/m²]]),0))
))</f>
        <v>.</v>
      </c>
      <c r="CZ3" s="141" t="str">
        <f>IF(CZ$2&gt;Input_Tidshorisont,BlankTegn,IF(CZ$2=0,SUM(Materialedata[[#This Row],[A1-A3/m²]:[A4/m²]]),
CY3+IF(CZ$2=Input_Tidshorisont,SUM(Materialedata[[#This Row],[C3/m²]:[C4/m²]]),IF(MOD(CZ$2,Materialedata[[#This Row],[Levetid]])=0,SUM(Materialedata[[#This Row],[A1-A3/m²]:[C4/m²]]),0))
))</f>
        <v>.</v>
      </c>
      <c r="DA3" s="141" t="str">
        <f>IF(DA$2&gt;Input_Tidshorisont,BlankTegn,IF(DA$2=0,SUM(Materialedata[[#This Row],[A1-A3/m²]:[A4/m²]]),
CZ3+IF(DA$2=Input_Tidshorisont,SUM(Materialedata[[#This Row],[C3/m²]:[C4/m²]]),IF(MOD(DA$2,Materialedata[[#This Row],[Levetid]])=0,SUM(Materialedata[[#This Row],[A1-A3/m²]:[C4/m²]]),0))
))</f>
        <v>.</v>
      </c>
      <c r="DB3" s="141" t="str">
        <f>IF(DB$2&gt;Input_Tidshorisont,BlankTegn,IF(DB$2=0,SUM(Materialedata[[#This Row],[A1-A3/m²]:[A4/m²]]),
DA3+IF(DB$2=Input_Tidshorisont,SUM(Materialedata[[#This Row],[C3/m²]:[C4/m²]]),IF(MOD(DB$2,Materialedata[[#This Row],[Levetid]])=0,SUM(Materialedata[[#This Row],[A1-A3/m²]:[C4/m²]]),0))
))</f>
        <v>.</v>
      </c>
      <c r="DC3" s="141" t="str">
        <f>IF(DC$2&gt;Input_Tidshorisont,BlankTegn,IF(DC$2=0,SUM(Materialedata[[#This Row],[A1-A3/m²]:[A4/m²]]),
DB3+IF(DC$2=Input_Tidshorisont,SUM(Materialedata[[#This Row],[C3/m²]:[C4/m²]]),IF(MOD(DC$2,Materialedata[[#This Row],[Levetid]])=0,SUM(Materialedata[[#This Row],[A1-A3/m²]:[C4/m²]]),0))
))</f>
        <v>.</v>
      </c>
      <c r="DD3" s="141" t="str">
        <f>IF(DD$2&gt;Input_Tidshorisont,BlankTegn,IF(DD$2=0,SUM(Materialedata[[#This Row],[A1-A3/m²]:[A4/m²]]),
DC3+IF(DD$2=Input_Tidshorisont,SUM(Materialedata[[#This Row],[C3/m²]:[C4/m²]]),IF(MOD(DD$2,Materialedata[[#This Row],[Levetid]])=0,SUM(Materialedata[[#This Row],[A1-A3/m²]:[C4/m²]]),0))
))</f>
        <v>.</v>
      </c>
      <c r="DE3" s="141" t="str">
        <f>IF(DE$2&gt;Input_Tidshorisont,BlankTegn,IF(DE$2=0,SUM(Materialedata[[#This Row],[A1-A3/m²]:[A4/m²]]),
DD3+IF(DE$2=Input_Tidshorisont,SUM(Materialedata[[#This Row],[C3/m²]:[C4/m²]]),IF(MOD(DE$2,Materialedata[[#This Row],[Levetid]])=0,SUM(Materialedata[[#This Row],[A1-A3/m²]:[C4/m²]]),0))
))</f>
        <v>.</v>
      </c>
      <c r="DF3" s="141" t="str">
        <f>IF(DF$2&gt;Input_Tidshorisont,BlankTegn,IF(DF$2=0,SUM(Materialedata[[#This Row],[A1-A3/m²]:[A4/m²]]),
DE3+IF(DF$2=Input_Tidshorisont,SUM(Materialedata[[#This Row],[C3/m²]:[C4/m²]]),IF(MOD(DF$2,Materialedata[[#This Row],[Levetid]])=0,SUM(Materialedata[[#This Row],[A1-A3/m²]:[C4/m²]]),0))
))</f>
        <v>.</v>
      </c>
      <c r="DG3" s="141" t="str">
        <f>IF(DG$2&gt;Input_Tidshorisont,BlankTegn,IF(DG$2=0,SUM(Materialedata[[#This Row],[A1-A3/m²]:[A4/m²]]),
DF3+IF(DG$2=Input_Tidshorisont,SUM(Materialedata[[#This Row],[C3/m²]:[C4/m²]]),IF(MOD(DG$2,Materialedata[[#This Row],[Levetid]])=0,SUM(Materialedata[[#This Row],[A1-A3/m²]:[C4/m²]]),0))
))</f>
        <v>.</v>
      </c>
      <c r="DH3" s="141" t="str">
        <f>IF(DH$2&gt;Input_Tidshorisont,BlankTegn,IF(DH$2=0,SUM(Materialedata[[#This Row],[A1-A3/m²]:[A4/m²]]),
DG3+IF(DH$2=Input_Tidshorisont,SUM(Materialedata[[#This Row],[C3/m²]:[C4/m²]]),IF(MOD(DH$2,Materialedata[[#This Row],[Levetid]])=0,SUM(Materialedata[[#This Row],[A1-A3/m²]:[C4/m²]]),0))
))</f>
        <v>.</v>
      </c>
      <c r="DI3" s="141" t="str">
        <f>IF(DI$2&gt;Input_Tidshorisont,BlankTegn,IF(DI$2=0,SUM(Materialedata[[#This Row],[A1-A3/m²]:[A4/m²]]),
DH3+IF(DI$2=Input_Tidshorisont,SUM(Materialedata[[#This Row],[C3/m²]:[C4/m²]]),IF(MOD(DI$2,Materialedata[[#This Row],[Levetid]])=0,SUM(Materialedata[[#This Row],[A1-A3/m²]:[C4/m²]]),0))
))</f>
        <v>.</v>
      </c>
      <c r="DJ3" s="141" t="str">
        <f>IF(DJ$2&gt;Input_Tidshorisont,BlankTegn,IF(DJ$2=0,SUM(Materialedata[[#This Row],[A1-A3/m²]:[A4/m²]]),
DI3+IF(DJ$2=Input_Tidshorisont,SUM(Materialedata[[#This Row],[C3/m²]:[C4/m²]]),IF(MOD(DJ$2,Materialedata[[#This Row],[Levetid]])=0,SUM(Materialedata[[#This Row],[A1-A3/m²]:[C4/m²]]),0))
))</f>
        <v>.</v>
      </c>
      <c r="DK3" s="141" t="str">
        <f>IF(DK$2&gt;Input_Tidshorisont,BlankTegn,IF(DK$2=0,SUM(Materialedata[[#This Row],[A1-A3/m²]:[A4/m²]]),
DJ3+IF(DK$2=Input_Tidshorisont,SUM(Materialedata[[#This Row],[C3/m²]:[C4/m²]]),IF(MOD(DK$2,Materialedata[[#This Row],[Levetid]])=0,SUM(Materialedata[[#This Row],[A1-A3/m²]:[C4/m²]]),0))
))</f>
        <v>.</v>
      </c>
      <c r="DL3" s="141" t="str">
        <f>IF(DL$2&gt;Input_Tidshorisont,BlankTegn,IF(DL$2=0,SUM(Materialedata[[#This Row],[A1-A3/m²]:[A4/m²]]),
DK3+IF(DL$2=Input_Tidshorisont,SUM(Materialedata[[#This Row],[C3/m²]:[C4/m²]]),IF(MOD(DL$2,Materialedata[[#This Row],[Levetid]])=0,SUM(Materialedata[[#This Row],[A1-A3/m²]:[C4/m²]]),0))
))</f>
        <v>.</v>
      </c>
      <c r="DM3" s="19"/>
    </row>
    <row r="4" spans="1:117" ht="24">
      <c r="A4" s="182" t="s">
        <v>33</v>
      </c>
      <c r="B4" s="182" t="s">
        <v>130</v>
      </c>
      <c r="C4" s="148" t="s">
        <v>131</v>
      </c>
      <c r="D4" s="149" t="s">
        <v>268</v>
      </c>
      <c r="E4" s="180" t="s">
        <v>304</v>
      </c>
      <c r="F4" s="182" t="s">
        <v>29</v>
      </c>
      <c r="G4" s="182">
        <v>50</v>
      </c>
      <c r="H4" s="183"/>
      <c r="I4" s="184">
        <v>14</v>
      </c>
      <c r="J4" s="184" t="s">
        <v>101</v>
      </c>
      <c r="K4" s="182">
        <v>12.9</v>
      </c>
      <c r="L4" s="182" t="s">
        <v>130</v>
      </c>
      <c r="M4" s="185">
        <f>IF(ISBLANK(Materialedata[[#This Row],[A4-gruppe]]),BlankTegn,INDEX(Byggeproces[GWP],MATCH(Materialedata[[#This Row],[A4-gruppe]],Byggeproces[Gruppe/Undergruppe],0)))</f>
        <v>0.2011</v>
      </c>
      <c r="N4" s="182">
        <v>0</v>
      </c>
      <c r="O4" s="182">
        <v>0.249</v>
      </c>
      <c r="P4" s="182">
        <v>0</v>
      </c>
      <c r="Q4" s="279">
        <f>Materialedata[[#This Row],[A1-A3/standardenhed]]</f>
        <v>12.9</v>
      </c>
      <c r="R4" s="276" cm="1">
        <f t="array" ref="R4">IFERROR(_xlfn.IFS(Materialedata[[#This Row],[Mængde-enhed]]="kg/m²",Materialedata[[#This Row],[A4/kg]]*Materialedata[[#This Row],[Mængde/m²]],Materialedata[[#This Row],[Mængde-enhed]]="m³/m²",Materialedata[[#This Row],[A4/kg]]*Materialedata[[#This Row],[Mængde/m²]]*Materialedata[[#This Row],[Densitet]]),"N/A")</f>
        <v>2.8153999999999999</v>
      </c>
      <c r="S4" s="188">
        <f>Materialedata[[#This Row],[C3/enhed]]</f>
        <v>0</v>
      </c>
      <c r="T4" s="188">
        <f>Materialedata[[#This Row],[C4/enhed]]</f>
        <v>0.249</v>
      </c>
      <c r="U4" s="188">
        <f>Materialedata[[#This Row],[D/enhed]]</f>
        <v>0</v>
      </c>
      <c r="V4" s="150">
        <f>IFERROR(INDEX(Range_Materiale_Genbrug,MATCH(Materialedata[[#This Row],[Komponent]],Facadekomponenter,0)),BlankTegn)</f>
        <v>0</v>
      </c>
      <c r="W4" s="150">
        <f>IFERROR(1-Materialedata[[#This Row],[Genbrug]],BlankTegn)</f>
        <v>1</v>
      </c>
      <c r="X4" s="186">
        <f>IFERROR(Materialedata[[#This Row],[A1-A3/m²_nyt]]*Materialedata[[#This Row],[Nyt]],BlankTegn)</f>
        <v>12.9</v>
      </c>
      <c r="Y4" s="186">
        <f>Materialedata[[#This Row],[A4/m²_nyt]]</f>
        <v>2.8153999999999999</v>
      </c>
      <c r="Z4" s="186">
        <f>IFERROR(Materialedata[[#This Row],[C3/m²_nyt]]*Materialedata[[#This Row],[Nyt]],BlankTegn)</f>
        <v>0</v>
      </c>
      <c r="AA4" s="186">
        <f>IFERROR(Materialedata[[#This Row],[C4/m²_nyt]]*Materialedata[[#This Row],[Nyt]],BlankTegn)</f>
        <v>0.249</v>
      </c>
      <c r="AB4" s="186">
        <f>IFERROR(Materialedata[[#This Row],[D/m²_nyt]]*Materialedata[[#This Row],[Nyt]],BlankTegn)</f>
        <v>0</v>
      </c>
      <c r="AC4" s="187">
        <v>663.31</v>
      </c>
      <c r="AD4" s="188" t="s">
        <v>29</v>
      </c>
      <c r="AE4" s="182">
        <v>1</v>
      </c>
      <c r="AF4" s="189">
        <f>Materialedata[[#This Row],[Pris/enhed]]*Materialedata[[#This Row],[Omregning]]</f>
        <v>663.31</v>
      </c>
      <c r="AG4" s="190">
        <v>0.01</v>
      </c>
      <c r="AH4" s="191">
        <v>1</v>
      </c>
      <c r="AI4" s="162">
        <v>0</v>
      </c>
      <c r="AJ4" s="141">
        <f>IF(AJ$2&gt;Input_Tidshorisont,BlankTegn,IF(AJ$2=0,SUM(Materialedata[[#This Row],[A1-A3/m²]:[A4/m²]]),
AI4+IF(AJ$2=Input_Tidshorisont,SUM(Materialedata[[#This Row],[C3/m²]:[C4/m²]]),IF(MOD(AJ$2,Materialedata[[#This Row],[Levetid]])=0,SUM(Materialedata[[#This Row],[A1-A3/m²]:[C4/m²]]),0))
))</f>
        <v>15.715400000000001</v>
      </c>
      <c r="AK4" s="141">
        <f>IF(AK$2&gt;Input_Tidshorisont,BlankTegn,IF(AK$2=0,SUM(Materialedata[[#This Row],[A1-A3/m²]:[A4/m²]]),
AJ4+IF(AK$2=Input_Tidshorisont,SUM(Materialedata[[#This Row],[C3/m²]:[C4/m²]]),IF(MOD(AK$2,Materialedata[[#This Row],[Levetid]])=0,SUM(Materialedata[[#This Row],[A1-A3/m²]:[C4/m²]]),0))
))</f>
        <v>15.715400000000001</v>
      </c>
      <c r="AL4" s="141">
        <f>IF(AL$2&gt;Input_Tidshorisont,BlankTegn,IF(AL$2=0,SUM(Materialedata[[#This Row],[A1-A3/m²]:[A4/m²]]),
AK4+IF(AL$2=Input_Tidshorisont,SUM(Materialedata[[#This Row],[C3/m²]:[C4/m²]]),IF(MOD(AL$2,Materialedata[[#This Row],[Levetid]])=0,SUM(Materialedata[[#This Row],[A1-A3/m²]:[C4/m²]]),0))
))</f>
        <v>15.715400000000001</v>
      </c>
      <c r="AM4" s="141">
        <f>IF(AM$2&gt;Input_Tidshorisont,BlankTegn,IF(AM$2=0,SUM(Materialedata[[#This Row],[A1-A3/m²]:[A4/m²]]),
AL4+IF(AM$2=Input_Tidshorisont,SUM(Materialedata[[#This Row],[C3/m²]:[C4/m²]]),IF(MOD(AM$2,Materialedata[[#This Row],[Levetid]])=0,SUM(Materialedata[[#This Row],[A1-A3/m²]:[C4/m²]]),0))
))</f>
        <v>15.715400000000001</v>
      </c>
      <c r="AN4" s="141">
        <f>IF(AN$2&gt;Input_Tidshorisont,BlankTegn,IF(AN$2=0,SUM(Materialedata[[#This Row],[A1-A3/m²]:[A4/m²]]),
AM4+IF(AN$2=Input_Tidshorisont,SUM(Materialedata[[#This Row],[C3/m²]:[C4/m²]]),IF(MOD(AN$2,Materialedata[[#This Row],[Levetid]])=0,SUM(Materialedata[[#This Row],[A1-A3/m²]:[C4/m²]]),0))
))</f>
        <v>15.715400000000001</v>
      </c>
      <c r="AO4" s="141">
        <f>IF(AO$2&gt;Input_Tidshorisont,BlankTegn,IF(AO$2=0,SUM(Materialedata[[#This Row],[A1-A3/m²]:[A4/m²]]),
AN4+IF(AO$2=Input_Tidshorisont,SUM(Materialedata[[#This Row],[C3/m²]:[C4/m²]]),IF(MOD(AO$2,Materialedata[[#This Row],[Levetid]])=0,SUM(Materialedata[[#This Row],[A1-A3/m²]:[C4/m²]]),0))
))</f>
        <v>15.715400000000001</v>
      </c>
      <c r="AP4" s="141">
        <f>IF(AP$2&gt;Input_Tidshorisont,BlankTegn,IF(AP$2=0,SUM(Materialedata[[#This Row],[A1-A3/m²]:[A4/m²]]),
AO4+IF(AP$2=Input_Tidshorisont,SUM(Materialedata[[#This Row],[C3/m²]:[C4/m²]]),IF(MOD(AP$2,Materialedata[[#This Row],[Levetid]])=0,SUM(Materialedata[[#This Row],[A1-A3/m²]:[C4/m²]]),0))
))</f>
        <v>15.715400000000001</v>
      </c>
      <c r="AQ4" s="141">
        <f>IF(AQ$2&gt;Input_Tidshorisont,BlankTegn,IF(AQ$2=0,SUM(Materialedata[[#This Row],[A1-A3/m²]:[A4/m²]]),
AP4+IF(AQ$2=Input_Tidshorisont,SUM(Materialedata[[#This Row],[C3/m²]:[C4/m²]]),IF(MOD(AQ$2,Materialedata[[#This Row],[Levetid]])=0,SUM(Materialedata[[#This Row],[A1-A3/m²]:[C4/m²]]),0))
))</f>
        <v>15.715400000000001</v>
      </c>
      <c r="AR4" s="141">
        <f>IF(AR$2&gt;Input_Tidshorisont,BlankTegn,IF(AR$2=0,SUM(Materialedata[[#This Row],[A1-A3/m²]:[A4/m²]]),
AQ4+IF(AR$2=Input_Tidshorisont,SUM(Materialedata[[#This Row],[C3/m²]:[C4/m²]]),IF(MOD(AR$2,Materialedata[[#This Row],[Levetid]])=0,SUM(Materialedata[[#This Row],[A1-A3/m²]:[C4/m²]]),0))
))</f>
        <v>15.715400000000001</v>
      </c>
      <c r="AS4" s="141">
        <f>IF(AS$2&gt;Input_Tidshorisont,BlankTegn,IF(AS$2=0,SUM(Materialedata[[#This Row],[A1-A3/m²]:[A4/m²]]),
AR4+IF(AS$2=Input_Tidshorisont,SUM(Materialedata[[#This Row],[C3/m²]:[C4/m²]]),IF(MOD(AS$2,Materialedata[[#This Row],[Levetid]])=0,SUM(Materialedata[[#This Row],[A1-A3/m²]:[C4/m²]]),0))
))</f>
        <v>15.715400000000001</v>
      </c>
      <c r="AT4" s="141">
        <f>IF(AT$2&gt;Input_Tidshorisont,BlankTegn,IF(AT$2=0,SUM(Materialedata[[#This Row],[A1-A3/m²]:[A4/m²]]),
AS4+IF(AT$2=Input_Tidshorisont,SUM(Materialedata[[#This Row],[C3/m²]:[C4/m²]]),IF(MOD(AT$2,Materialedata[[#This Row],[Levetid]])=0,SUM(Materialedata[[#This Row],[A1-A3/m²]:[C4/m²]]),0))
))</f>
        <v>15.715400000000001</v>
      </c>
      <c r="AU4" s="141">
        <f>IF(AU$2&gt;Input_Tidshorisont,BlankTegn,IF(AU$2=0,SUM(Materialedata[[#This Row],[A1-A3/m²]:[A4/m²]]),
AT4+IF(AU$2=Input_Tidshorisont,SUM(Materialedata[[#This Row],[C3/m²]:[C4/m²]]),IF(MOD(AU$2,Materialedata[[#This Row],[Levetid]])=0,SUM(Materialedata[[#This Row],[A1-A3/m²]:[C4/m²]]),0))
))</f>
        <v>15.715400000000001</v>
      </c>
      <c r="AV4" s="141">
        <f>IF(AV$2&gt;Input_Tidshorisont,BlankTegn,IF(AV$2=0,SUM(Materialedata[[#This Row],[A1-A3/m²]:[A4/m²]]),
AU4+IF(AV$2=Input_Tidshorisont,SUM(Materialedata[[#This Row],[C3/m²]:[C4/m²]]),IF(MOD(AV$2,Materialedata[[#This Row],[Levetid]])=0,SUM(Materialedata[[#This Row],[A1-A3/m²]:[C4/m²]]),0))
))</f>
        <v>15.715400000000001</v>
      </c>
      <c r="AW4" s="141">
        <f>IF(AW$2&gt;Input_Tidshorisont,BlankTegn,IF(AW$2=0,SUM(Materialedata[[#This Row],[A1-A3/m²]:[A4/m²]]),
AV4+IF(AW$2=Input_Tidshorisont,SUM(Materialedata[[#This Row],[C3/m²]:[C4/m²]]),IF(MOD(AW$2,Materialedata[[#This Row],[Levetid]])=0,SUM(Materialedata[[#This Row],[A1-A3/m²]:[C4/m²]]),0))
))</f>
        <v>15.715400000000001</v>
      </c>
      <c r="AX4" s="141">
        <f>IF(AX$2&gt;Input_Tidshorisont,BlankTegn,IF(AX$2=0,SUM(Materialedata[[#This Row],[A1-A3/m²]:[A4/m²]]),
AW4+IF(AX$2=Input_Tidshorisont,SUM(Materialedata[[#This Row],[C3/m²]:[C4/m²]]),IF(MOD(AX$2,Materialedata[[#This Row],[Levetid]])=0,SUM(Materialedata[[#This Row],[A1-A3/m²]:[C4/m²]]),0))
))</f>
        <v>15.715400000000001</v>
      </c>
      <c r="AY4" s="141">
        <f>IF(AY$2&gt;Input_Tidshorisont,BlankTegn,IF(AY$2=0,SUM(Materialedata[[#This Row],[A1-A3/m²]:[A4/m²]]),
AX4+IF(AY$2=Input_Tidshorisont,SUM(Materialedata[[#This Row],[C3/m²]:[C4/m²]]),IF(MOD(AY$2,Materialedata[[#This Row],[Levetid]])=0,SUM(Materialedata[[#This Row],[A1-A3/m²]:[C4/m²]]),0))
))</f>
        <v>15.715400000000001</v>
      </c>
      <c r="AZ4" s="141">
        <f>IF(AZ$2&gt;Input_Tidshorisont,BlankTegn,IF(AZ$2=0,SUM(Materialedata[[#This Row],[A1-A3/m²]:[A4/m²]]),
AY4+IF(AZ$2=Input_Tidshorisont,SUM(Materialedata[[#This Row],[C3/m²]:[C4/m²]]),IF(MOD(AZ$2,Materialedata[[#This Row],[Levetid]])=0,SUM(Materialedata[[#This Row],[A1-A3/m²]:[C4/m²]]),0))
))</f>
        <v>15.715400000000001</v>
      </c>
      <c r="BA4" s="141">
        <f>IF(BA$2&gt;Input_Tidshorisont,BlankTegn,IF(BA$2=0,SUM(Materialedata[[#This Row],[A1-A3/m²]:[A4/m²]]),
AZ4+IF(BA$2=Input_Tidshorisont,SUM(Materialedata[[#This Row],[C3/m²]:[C4/m²]]),IF(MOD(BA$2,Materialedata[[#This Row],[Levetid]])=0,SUM(Materialedata[[#This Row],[A1-A3/m²]:[C4/m²]]),0))
))</f>
        <v>15.715400000000001</v>
      </c>
      <c r="BB4" s="141">
        <f>IF(BB$2&gt;Input_Tidshorisont,BlankTegn,IF(BB$2=0,SUM(Materialedata[[#This Row],[A1-A3/m²]:[A4/m²]]),
BA4+IF(BB$2=Input_Tidshorisont,SUM(Materialedata[[#This Row],[C3/m²]:[C4/m²]]),IF(MOD(BB$2,Materialedata[[#This Row],[Levetid]])=0,SUM(Materialedata[[#This Row],[A1-A3/m²]:[C4/m²]]),0))
))</f>
        <v>15.715400000000001</v>
      </c>
      <c r="BC4" s="141">
        <f>IF(BC$2&gt;Input_Tidshorisont,BlankTegn,IF(BC$2=0,SUM(Materialedata[[#This Row],[A1-A3/m²]:[A4/m²]]),
BB4+IF(BC$2=Input_Tidshorisont,SUM(Materialedata[[#This Row],[C3/m²]:[C4/m²]]),IF(MOD(BC$2,Materialedata[[#This Row],[Levetid]])=0,SUM(Materialedata[[#This Row],[A1-A3/m²]:[C4/m²]]),0))
))</f>
        <v>15.715400000000001</v>
      </c>
      <c r="BD4" s="141">
        <f>IF(BD$2&gt;Input_Tidshorisont,BlankTegn,IF(BD$2=0,SUM(Materialedata[[#This Row],[A1-A3/m²]:[A4/m²]]),
BC4+IF(BD$2=Input_Tidshorisont,SUM(Materialedata[[#This Row],[C3/m²]:[C4/m²]]),IF(MOD(BD$2,Materialedata[[#This Row],[Levetid]])=0,SUM(Materialedata[[#This Row],[A1-A3/m²]:[C4/m²]]),0))
))</f>
        <v>15.715400000000001</v>
      </c>
      <c r="BE4" s="141">
        <f>IF(BE$2&gt;Input_Tidshorisont,BlankTegn,IF(BE$2=0,SUM(Materialedata[[#This Row],[A1-A3/m²]:[A4/m²]]),
BD4+IF(BE$2=Input_Tidshorisont,SUM(Materialedata[[#This Row],[C3/m²]:[C4/m²]]),IF(MOD(BE$2,Materialedata[[#This Row],[Levetid]])=0,SUM(Materialedata[[#This Row],[A1-A3/m²]:[C4/m²]]),0))
))</f>
        <v>15.715400000000001</v>
      </c>
      <c r="BF4" s="141">
        <f>IF(BF$2&gt;Input_Tidshorisont,BlankTegn,IF(BF$2=0,SUM(Materialedata[[#This Row],[A1-A3/m²]:[A4/m²]]),
BE4+IF(BF$2=Input_Tidshorisont,SUM(Materialedata[[#This Row],[C3/m²]:[C4/m²]]),IF(MOD(BF$2,Materialedata[[#This Row],[Levetid]])=0,SUM(Materialedata[[#This Row],[A1-A3/m²]:[C4/m²]]),0))
))</f>
        <v>15.715400000000001</v>
      </c>
      <c r="BG4" s="141">
        <f>IF(BG$2&gt;Input_Tidshorisont,BlankTegn,IF(BG$2=0,SUM(Materialedata[[#This Row],[A1-A3/m²]:[A4/m²]]),
BF4+IF(BG$2=Input_Tidshorisont,SUM(Materialedata[[#This Row],[C3/m²]:[C4/m²]]),IF(MOD(BG$2,Materialedata[[#This Row],[Levetid]])=0,SUM(Materialedata[[#This Row],[A1-A3/m²]:[C4/m²]]),0))
))</f>
        <v>15.715400000000001</v>
      </c>
      <c r="BH4" s="141">
        <f>IF(BH$2&gt;Input_Tidshorisont,BlankTegn,IF(BH$2=0,SUM(Materialedata[[#This Row],[A1-A3/m²]:[A4/m²]]),
BG4+IF(BH$2=Input_Tidshorisont,SUM(Materialedata[[#This Row],[C3/m²]:[C4/m²]]),IF(MOD(BH$2,Materialedata[[#This Row],[Levetid]])=0,SUM(Materialedata[[#This Row],[A1-A3/m²]:[C4/m²]]),0))
))</f>
        <v>15.715400000000001</v>
      </c>
      <c r="BI4" s="141">
        <f>IF(BI$2&gt;Input_Tidshorisont,BlankTegn,IF(BI$2=0,SUM(Materialedata[[#This Row],[A1-A3/m²]:[A4/m²]]),
BH4+IF(BI$2=Input_Tidshorisont,SUM(Materialedata[[#This Row],[C3/m²]:[C4/m²]]),IF(MOD(BI$2,Materialedata[[#This Row],[Levetid]])=0,SUM(Materialedata[[#This Row],[A1-A3/m²]:[C4/m²]]),0))
))</f>
        <v>15.715400000000001</v>
      </c>
      <c r="BJ4" s="141">
        <f>IF(BJ$2&gt;Input_Tidshorisont,BlankTegn,IF(BJ$2=0,SUM(Materialedata[[#This Row],[A1-A3/m²]:[A4/m²]]),
BI4+IF(BJ$2=Input_Tidshorisont,SUM(Materialedata[[#This Row],[C3/m²]:[C4/m²]]),IF(MOD(BJ$2,Materialedata[[#This Row],[Levetid]])=0,SUM(Materialedata[[#This Row],[A1-A3/m²]:[C4/m²]]),0))
))</f>
        <v>15.715400000000001</v>
      </c>
      <c r="BK4" s="141">
        <f>IF(BK$2&gt;Input_Tidshorisont,BlankTegn,IF(BK$2=0,SUM(Materialedata[[#This Row],[A1-A3/m²]:[A4/m²]]),
BJ4+IF(BK$2=Input_Tidshorisont,SUM(Materialedata[[#This Row],[C3/m²]:[C4/m²]]),IF(MOD(BK$2,Materialedata[[#This Row],[Levetid]])=0,SUM(Materialedata[[#This Row],[A1-A3/m²]:[C4/m²]]),0))
))</f>
        <v>15.715400000000001</v>
      </c>
      <c r="BL4" s="141">
        <f>IF(BL$2&gt;Input_Tidshorisont,BlankTegn,IF(BL$2=0,SUM(Materialedata[[#This Row],[A1-A3/m²]:[A4/m²]]),
BK4+IF(BL$2=Input_Tidshorisont,SUM(Materialedata[[#This Row],[C3/m²]:[C4/m²]]),IF(MOD(BL$2,Materialedata[[#This Row],[Levetid]])=0,SUM(Materialedata[[#This Row],[A1-A3/m²]:[C4/m²]]),0))
))</f>
        <v>15.715400000000001</v>
      </c>
      <c r="BM4" s="141">
        <f>IF(BM$2&gt;Input_Tidshorisont,BlankTegn,IF(BM$2=0,SUM(Materialedata[[#This Row],[A1-A3/m²]:[A4/m²]]),
BL4+IF(BM$2=Input_Tidshorisont,SUM(Materialedata[[#This Row],[C3/m²]:[C4/m²]]),IF(MOD(BM$2,Materialedata[[#This Row],[Levetid]])=0,SUM(Materialedata[[#This Row],[A1-A3/m²]:[C4/m²]]),0))
))</f>
        <v>15.715400000000001</v>
      </c>
      <c r="BN4" s="141">
        <f>IF(BN$2&gt;Input_Tidshorisont,BlankTegn,IF(BN$2=0,SUM(Materialedata[[#This Row],[A1-A3/m²]:[A4/m²]]),
BM4+IF(BN$2=Input_Tidshorisont,SUM(Materialedata[[#This Row],[C3/m²]:[C4/m²]]),IF(MOD(BN$2,Materialedata[[#This Row],[Levetid]])=0,SUM(Materialedata[[#This Row],[A1-A3/m²]:[C4/m²]]),0))
))</f>
        <v>15.715400000000001</v>
      </c>
      <c r="BO4" s="141">
        <f>IF(BO$2&gt;Input_Tidshorisont,BlankTegn,IF(BO$2=0,SUM(Materialedata[[#This Row],[A1-A3/m²]:[A4/m²]]),
BN4+IF(BO$2=Input_Tidshorisont,SUM(Materialedata[[#This Row],[C3/m²]:[C4/m²]]),IF(MOD(BO$2,Materialedata[[#This Row],[Levetid]])=0,SUM(Materialedata[[#This Row],[A1-A3/m²]:[C4/m²]]),0))
))</f>
        <v>15.715400000000001</v>
      </c>
      <c r="BP4" s="141">
        <f>IF(BP$2&gt;Input_Tidshorisont,BlankTegn,IF(BP$2=0,SUM(Materialedata[[#This Row],[A1-A3/m²]:[A4/m²]]),
BO4+IF(BP$2=Input_Tidshorisont,SUM(Materialedata[[#This Row],[C3/m²]:[C4/m²]]),IF(MOD(BP$2,Materialedata[[#This Row],[Levetid]])=0,SUM(Materialedata[[#This Row],[A1-A3/m²]:[C4/m²]]),0))
))</f>
        <v>15.715400000000001</v>
      </c>
      <c r="BQ4" s="141">
        <f>IF(BQ$2&gt;Input_Tidshorisont,BlankTegn,IF(BQ$2=0,SUM(Materialedata[[#This Row],[A1-A3/m²]:[A4/m²]]),
BP4+IF(BQ$2=Input_Tidshorisont,SUM(Materialedata[[#This Row],[C3/m²]:[C4/m²]]),IF(MOD(BQ$2,Materialedata[[#This Row],[Levetid]])=0,SUM(Materialedata[[#This Row],[A1-A3/m²]:[C4/m²]]),0))
))</f>
        <v>15.715400000000001</v>
      </c>
      <c r="BR4" s="141">
        <f>IF(BR$2&gt;Input_Tidshorisont,BlankTegn,IF(BR$2=0,SUM(Materialedata[[#This Row],[A1-A3/m²]:[A4/m²]]),
BQ4+IF(BR$2=Input_Tidshorisont,SUM(Materialedata[[#This Row],[C3/m²]:[C4/m²]]),IF(MOD(BR$2,Materialedata[[#This Row],[Levetid]])=0,SUM(Materialedata[[#This Row],[A1-A3/m²]:[C4/m²]]),0))
))</f>
        <v>15.715400000000001</v>
      </c>
      <c r="BS4" s="141">
        <f>IF(BS$2&gt;Input_Tidshorisont,BlankTegn,IF(BS$2=0,SUM(Materialedata[[#This Row],[A1-A3/m²]:[A4/m²]]),
BR4+IF(BS$2=Input_Tidshorisont,SUM(Materialedata[[#This Row],[C3/m²]:[C4/m²]]),IF(MOD(BS$2,Materialedata[[#This Row],[Levetid]])=0,SUM(Materialedata[[#This Row],[A1-A3/m²]:[C4/m²]]),0))
))</f>
        <v>15.715400000000001</v>
      </c>
      <c r="BT4" s="141">
        <f>IF(BT$2&gt;Input_Tidshorisont,BlankTegn,IF(BT$2=0,SUM(Materialedata[[#This Row],[A1-A3/m²]:[A4/m²]]),
BS4+IF(BT$2=Input_Tidshorisont,SUM(Materialedata[[#This Row],[C3/m²]:[C4/m²]]),IF(MOD(BT$2,Materialedata[[#This Row],[Levetid]])=0,SUM(Materialedata[[#This Row],[A1-A3/m²]:[C4/m²]]),0))
))</f>
        <v>15.715400000000001</v>
      </c>
      <c r="BU4" s="141">
        <f>IF(BU$2&gt;Input_Tidshorisont,BlankTegn,IF(BU$2=0,SUM(Materialedata[[#This Row],[A1-A3/m²]:[A4/m²]]),
BT4+IF(BU$2=Input_Tidshorisont,SUM(Materialedata[[#This Row],[C3/m²]:[C4/m²]]),IF(MOD(BU$2,Materialedata[[#This Row],[Levetid]])=0,SUM(Materialedata[[#This Row],[A1-A3/m²]:[C4/m²]]),0))
))</f>
        <v>15.715400000000001</v>
      </c>
      <c r="BV4" s="141">
        <f>IF(BV$2&gt;Input_Tidshorisont,BlankTegn,IF(BV$2=0,SUM(Materialedata[[#This Row],[A1-A3/m²]:[A4/m²]]),
BU4+IF(BV$2=Input_Tidshorisont,SUM(Materialedata[[#This Row],[C3/m²]:[C4/m²]]),IF(MOD(BV$2,Materialedata[[#This Row],[Levetid]])=0,SUM(Materialedata[[#This Row],[A1-A3/m²]:[C4/m²]]),0))
))</f>
        <v>15.715400000000001</v>
      </c>
      <c r="BW4" s="141">
        <f>IF(BW$2&gt;Input_Tidshorisont,BlankTegn,IF(BW$2=0,SUM(Materialedata[[#This Row],[A1-A3/m²]:[A4/m²]]),
BV4+IF(BW$2=Input_Tidshorisont,SUM(Materialedata[[#This Row],[C3/m²]:[C4/m²]]),IF(MOD(BW$2,Materialedata[[#This Row],[Levetid]])=0,SUM(Materialedata[[#This Row],[A1-A3/m²]:[C4/m²]]),0))
))</f>
        <v>15.715400000000001</v>
      </c>
      <c r="BX4" s="141">
        <f>IF(BX$2&gt;Input_Tidshorisont,BlankTegn,IF(BX$2=0,SUM(Materialedata[[#This Row],[A1-A3/m²]:[A4/m²]]),
BW4+IF(BX$2=Input_Tidshorisont,SUM(Materialedata[[#This Row],[C3/m²]:[C4/m²]]),IF(MOD(BX$2,Materialedata[[#This Row],[Levetid]])=0,SUM(Materialedata[[#This Row],[A1-A3/m²]:[C4/m²]]),0))
))</f>
        <v>15.715400000000001</v>
      </c>
      <c r="BY4" s="141">
        <f>IF(BY$2&gt;Input_Tidshorisont,BlankTegn,IF(BY$2=0,SUM(Materialedata[[#This Row],[A1-A3/m²]:[A4/m²]]),
BX4+IF(BY$2=Input_Tidshorisont,SUM(Materialedata[[#This Row],[C3/m²]:[C4/m²]]),IF(MOD(BY$2,Materialedata[[#This Row],[Levetid]])=0,SUM(Materialedata[[#This Row],[A1-A3/m²]:[C4/m²]]),0))
))</f>
        <v>15.715400000000001</v>
      </c>
      <c r="BZ4" s="141">
        <f>IF(BZ$2&gt;Input_Tidshorisont,BlankTegn,IF(BZ$2=0,SUM(Materialedata[[#This Row],[A1-A3/m²]:[A4/m²]]),
BY4+IF(BZ$2=Input_Tidshorisont,SUM(Materialedata[[#This Row],[C3/m²]:[C4/m²]]),IF(MOD(BZ$2,Materialedata[[#This Row],[Levetid]])=0,SUM(Materialedata[[#This Row],[A1-A3/m²]:[C4/m²]]),0))
))</f>
        <v>15.715400000000001</v>
      </c>
      <c r="CA4" s="141">
        <f>IF(CA$2&gt;Input_Tidshorisont,BlankTegn,IF(CA$2=0,SUM(Materialedata[[#This Row],[A1-A3/m²]:[A4/m²]]),
BZ4+IF(CA$2=Input_Tidshorisont,SUM(Materialedata[[#This Row],[C3/m²]:[C4/m²]]),IF(MOD(CA$2,Materialedata[[#This Row],[Levetid]])=0,SUM(Materialedata[[#This Row],[A1-A3/m²]:[C4/m²]]),0))
))</f>
        <v>15.715400000000001</v>
      </c>
      <c r="CB4" s="141">
        <f>IF(CB$2&gt;Input_Tidshorisont,BlankTegn,IF(CB$2=0,SUM(Materialedata[[#This Row],[A1-A3/m²]:[A4/m²]]),
CA4+IF(CB$2=Input_Tidshorisont,SUM(Materialedata[[#This Row],[C3/m²]:[C4/m²]]),IF(MOD(CB$2,Materialedata[[#This Row],[Levetid]])=0,SUM(Materialedata[[#This Row],[A1-A3/m²]:[C4/m²]]),0))
))</f>
        <v>15.715400000000001</v>
      </c>
      <c r="CC4" s="141">
        <f>IF(CC$2&gt;Input_Tidshorisont,BlankTegn,IF(CC$2=0,SUM(Materialedata[[#This Row],[A1-A3/m²]:[A4/m²]]),
CB4+IF(CC$2=Input_Tidshorisont,SUM(Materialedata[[#This Row],[C3/m²]:[C4/m²]]),IF(MOD(CC$2,Materialedata[[#This Row],[Levetid]])=0,SUM(Materialedata[[#This Row],[A1-A3/m²]:[C4/m²]]),0))
))</f>
        <v>15.715400000000001</v>
      </c>
      <c r="CD4" s="141">
        <f>IF(CD$2&gt;Input_Tidshorisont,BlankTegn,IF(CD$2=0,SUM(Materialedata[[#This Row],[A1-A3/m²]:[A4/m²]]),
CC4+IF(CD$2=Input_Tidshorisont,SUM(Materialedata[[#This Row],[C3/m²]:[C4/m²]]),IF(MOD(CD$2,Materialedata[[#This Row],[Levetid]])=0,SUM(Materialedata[[#This Row],[A1-A3/m²]:[C4/m²]]),0))
))</f>
        <v>15.715400000000001</v>
      </c>
      <c r="CE4" s="141">
        <f>IF(CE$2&gt;Input_Tidshorisont,BlankTegn,IF(CE$2=0,SUM(Materialedata[[#This Row],[A1-A3/m²]:[A4/m²]]),
CD4+IF(CE$2=Input_Tidshorisont,SUM(Materialedata[[#This Row],[C3/m²]:[C4/m²]]),IF(MOD(CE$2,Materialedata[[#This Row],[Levetid]])=0,SUM(Materialedata[[#This Row],[A1-A3/m²]:[C4/m²]]),0))
))</f>
        <v>15.715400000000001</v>
      </c>
      <c r="CF4" s="141">
        <f>IF(CF$2&gt;Input_Tidshorisont,BlankTegn,IF(CF$2=0,SUM(Materialedata[[#This Row],[A1-A3/m²]:[A4/m²]]),
CE4+IF(CF$2=Input_Tidshorisont,SUM(Materialedata[[#This Row],[C3/m²]:[C4/m²]]),IF(MOD(CF$2,Materialedata[[#This Row],[Levetid]])=0,SUM(Materialedata[[#This Row],[A1-A3/m²]:[C4/m²]]),0))
))</f>
        <v>15.715400000000001</v>
      </c>
      <c r="CG4" s="141">
        <f>IF(CG$2&gt;Input_Tidshorisont,BlankTegn,IF(CG$2=0,SUM(Materialedata[[#This Row],[A1-A3/m²]:[A4/m²]]),
CF4+IF(CG$2=Input_Tidshorisont,SUM(Materialedata[[#This Row],[C3/m²]:[C4/m²]]),IF(MOD(CG$2,Materialedata[[#This Row],[Levetid]])=0,SUM(Materialedata[[#This Row],[A1-A3/m²]:[C4/m²]]),0))
))</f>
        <v>15.715400000000001</v>
      </c>
      <c r="CH4" s="141">
        <f>IF(CH$2&gt;Input_Tidshorisont,BlankTegn,IF(CH$2=0,SUM(Materialedata[[#This Row],[A1-A3/m²]:[A4/m²]]),
CG4+IF(CH$2=Input_Tidshorisont,SUM(Materialedata[[#This Row],[C3/m²]:[C4/m²]]),IF(MOD(CH$2,Materialedata[[#This Row],[Levetid]])=0,SUM(Materialedata[[#This Row],[A1-A3/m²]:[C4/m²]]),0))
))</f>
        <v>15.964400000000001</v>
      </c>
      <c r="CI4" s="141" t="str">
        <f>IF(CI$2&gt;Input_Tidshorisont,BlankTegn,IF(CI$2=0,SUM(Materialedata[[#This Row],[A1-A3/m²]:[A4/m²]]),
CH4+IF(CI$2=Input_Tidshorisont,SUM(Materialedata[[#This Row],[C3/m²]:[C4/m²]]),IF(MOD(CI$2,Materialedata[[#This Row],[Levetid]])=0,SUM(Materialedata[[#This Row],[A1-A3/m²]:[C4/m²]]),0))
))</f>
        <v>.</v>
      </c>
      <c r="CJ4" s="141" t="str">
        <f>IF(CJ$2&gt;Input_Tidshorisont,BlankTegn,IF(CJ$2=0,SUM(Materialedata[[#This Row],[A1-A3/m²]:[A4/m²]]),
CI4+IF(CJ$2=Input_Tidshorisont,SUM(Materialedata[[#This Row],[C3/m²]:[C4/m²]]),IF(MOD(CJ$2,Materialedata[[#This Row],[Levetid]])=0,SUM(Materialedata[[#This Row],[A1-A3/m²]:[C4/m²]]),0))
))</f>
        <v>.</v>
      </c>
      <c r="CK4" s="141" t="str">
        <f>IF(CK$2&gt;Input_Tidshorisont,BlankTegn,IF(CK$2=0,SUM(Materialedata[[#This Row],[A1-A3/m²]:[A4/m²]]),
CJ4+IF(CK$2=Input_Tidshorisont,SUM(Materialedata[[#This Row],[C3/m²]:[C4/m²]]),IF(MOD(CK$2,Materialedata[[#This Row],[Levetid]])=0,SUM(Materialedata[[#This Row],[A1-A3/m²]:[C4/m²]]),0))
))</f>
        <v>.</v>
      </c>
      <c r="CL4" s="141" t="str">
        <f>IF(CL$2&gt;Input_Tidshorisont,BlankTegn,IF(CL$2=0,SUM(Materialedata[[#This Row],[A1-A3/m²]:[A4/m²]]),
CK4+IF(CL$2=Input_Tidshorisont,SUM(Materialedata[[#This Row],[C3/m²]:[C4/m²]]),IF(MOD(CL$2,Materialedata[[#This Row],[Levetid]])=0,SUM(Materialedata[[#This Row],[A1-A3/m²]:[C4/m²]]),0))
))</f>
        <v>.</v>
      </c>
      <c r="CM4" s="141" t="str">
        <f>IF(CM$2&gt;Input_Tidshorisont,BlankTegn,IF(CM$2=0,SUM(Materialedata[[#This Row],[A1-A3/m²]:[A4/m²]]),
CL4+IF(CM$2=Input_Tidshorisont,SUM(Materialedata[[#This Row],[C3/m²]:[C4/m²]]),IF(MOD(CM$2,Materialedata[[#This Row],[Levetid]])=0,SUM(Materialedata[[#This Row],[A1-A3/m²]:[C4/m²]]),0))
))</f>
        <v>.</v>
      </c>
      <c r="CN4" s="141" t="str">
        <f>IF(CN$2&gt;Input_Tidshorisont,BlankTegn,IF(CN$2=0,SUM(Materialedata[[#This Row],[A1-A3/m²]:[A4/m²]]),
CM4+IF(CN$2=Input_Tidshorisont,SUM(Materialedata[[#This Row],[C3/m²]:[C4/m²]]),IF(MOD(CN$2,Materialedata[[#This Row],[Levetid]])=0,SUM(Materialedata[[#This Row],[A1-A3/m²]:[C4/m²]]),0))
))</f>
        <v>.</v>
      </c>
      <c r="CO4" s="141" t="str">
        <f>IF(CO$2&gt;Input_Tidshorisont,BlankTegn,IF(CO$2=0,SUM(Materialedata[[#This Row],[A1-A3/m²]:[A4/m²]]),
CN4+IF(CO$2=Input_Tidshorisont,SUM(Materialedata[[#This Row],[C3/m²]:[C4/m²]]),IF(MOD(CO$2,Materialedata[[#This Row],[Levetid]])=0,SUM(Materialedata[[#This Row],[A1-A3/m²]:[C4/m²]]),0))
))</f>
        <v>.</v>
      </c>
      <c r="CP4" s="141" t="str">
        <f>IF(CP$2&gt;Input_Tidshorisont,BlankTegn,IF(CP$2=0,SUM(Materialedata[[#This Row],[A1-A3/m²]:[A4/m²]]),
CO4+IF(CP$2=Input_Tidshorisont,SUM(Materialedata[[#This Row],[C3/m²]:[C4/m²]]),IF(MOD(CP$2,Materialedata[[#This Row],[Levetid]])=0,SUM(Materialedata[[#This Row],[A1-A3/m²]:[C4/m²]]),0))
))</f>
        <v>.</v>
      </c>
      <c r="CQ4" s="141" t="str">
        <f>IF(CQ$2&gt;Input_Tidshorisont,BlankTegn,IF(CQ$2=0,SUM(Materialedata[[#This Row],[A1-A3/m²]:[A4/m²]]),
CP4+IF(CQ$2=Input_Tidshorisont,SUM(Materialedata[[#This Row],[C3/m²]:[C4/m²]]),IF(MOD(CQ$2,Materialedata[[#This Row],[Levetid]])=0,SUM(Materialedata[[#This Row],[A1-A3/m²]:[C4/m²]]),0))
))</f>
        <v>.</v>
      </c>
      <c r="CR4" s="141" t="str">
        <f>IF(CR$2&gt;Input_Tidshorisont,BlankTegn,IF(CR$2=0,SUM(Materialedata[[#This Row],[A1-A3/m²]:[A4/m²]]),
CQ4+IF(CR$2=Input_Tidshorisont,SUM(Materialedata[[#This Row],[C3/m²]:[C4/m²]]),IF(MOD(CR$2,Materialedata[[#This Row],[Levetid]])=0,SUM(Materialedata[[#This Row],[A1-A3/m²]:[C4/m²]]),0))
))</f>
        <v>.</v>
      </c>
      <c r="CS4" s="141" t="str">
        <f>IF(CS$2&gt;Input_Tidshorisont,BlankTegn,IF(CS$2=0,SUM(Materialedata[[#This Row],[A1-A3/m²]:[A4/m²]]),
CR4+IF(CS$2=Input_Tidshorisont,SUM(Materialedata[[#This Row],[C3/m²]:[C4/m²]]),IF(MOD(CS$2,Materialedata[[#This Row],[Levetid]])=0,SUM(Materialedata[[#This Row],[A1-A3/m²]:[C4/m²]]),0))
))</f>
        <v>.</v>
      </c>
      <c r="CT4" s="141" t="str">
        <f>IF(CT$2&gt;Input_Tidshorisont,BlankTegn,IF(CT$2=0,SUM(Materialedata[[#This Row],[A1-A3/m²]:[A4/m²]]),
CS4+IF(CT$2=Input_Tidshorisont,SUM(Materialedata[[#This Row],[C3/m²]:[C4/m²]]),IF(MOD(CT$2,Materialedata[[#This Row],[Levetid]])=0,SUM(Materialedata[[#This Row],[A1-A3/m²]:[C4/m²]]),0))
))</f>
        <v>.</v>
      </c>
      <c r="CU4" s="141" t="str">
        <f>IF(CU$2&gt;Input_Tidshorisont,BlankTegn,IF(CU$2=0,SUM(Materialedata[[#This Row],[A1-A3/m²]:[A4/m²]]),
CT4+IF(CU$2=Input_Tidshorisont,SUM(Materialedata[[#This Row],[C3/m²]:[C4/m²]]),IF(MOD(CU$2,Materialedata[[#This Row],[Levetid]])=0,SUM(Materialedata[[#This Row],[A1-A3/m²]:[C4/m²]]),0))
))</f>
        <v>.</v>
      </c>
      <c r="CV4" s="141" t="str">
        <f>IF(CV$2&gt;Input_Tidshorisont,BlankTegn,IF(CV$2=0,SUM(Materialedata[[#This Row],[A1-A3/m²]:[A4/m²]]),
CU4+IF(CV$2=Input_Tidshorisont,SUM(Materialedata[[#This Row],[C3/m²]:[C4/m²]]),IF(MOD(CV$2,Materialedata[[#This Row],[Levetid]])=0,SUM(Materialedata[[#This Row],[A1-A3/m²]:[C4/m²]]),0))
))</f>
        <v>.</v>
      </c>
      <c r="CW4" s="141" t="str">
        <f>IF(CW$2&gt;Input_Tidshorisont,BlankTegn,IF(CW$2=0,SUM(Materialedata[[#This Row],[A1-A3/m²]:[A4/m²]]),
CV4+IF(CW$2=Input_Tidshorisont,SUM(Materialedata[[#This Row],[C3/m²]:[C4/m²]]),IF(MOD(CW$2,Materialedata[[#This Row],[Levetid]])=0,SUM(Materialedata[[#This Row],[A1-A3/m²]:[C4/m²]]),0))
))</f>
        <v>.</v>
      </c>
      <c r="CX4" s="141" t="str">
        <f>IF(CX$2&gt;Input_Tidshorisont,BlankTegn,IF(CX$2=0,SUM(Materialedata[[#This Row],[A1-A3/m²]:[A4/m²]]),
CW4+IF(CX$2=Input_Tidshorisont,SUM(Materialedata[[#This Row],[C3/m²]:[C4/m²]]),IF(MOD(CX$2,Materialedata[[#This Row],[Levetid]])=0,SUM(Materialedata[[#This Row],[A1-A3/m²]:[C4/m²]]),0))
))</f>
        <v>.</v>
      </c>
      <c r="CY4" s="141" t="str">
        <f>IF(CY$2&gt;Input_Tidshorisont,BlankTegn,IF(CY$2=0,SUM(Materialedata[[#This Row],[A1-A3/m²]:[A4/m²]]),
CX4+IF(CY$2=Input_Tidshorisont,SUM(Materialedata[[#This Row],[C3/m²]:[C4/m²]]),IF(MOD(CY$2,Materialedata[[#This Row],[Levetid]])=0,SUM(Materialedata[[#This Row],[A1-A3/m²]:[C4/m²]]),0))
))</f>
        <v>.</v>
      </c>
      <c r="CZ4" s="141" t="str">
        <f>IF(CZ$2&gt;Input_Tidshorisont,BlankTegn,IF(CZ$2=0,SUM(Materialedata[[#This Row],[A1-A3/m²]:[A4/m²]]),
CY4+IF(CZ$2=Input_Tidshorisont,SUM(Materialedata[[#This Row],[C3/m²]:[C4/m²]]),IF(MOD(CZ$2,Materialedata[[#This Row],[Levetid]])=0,SUM(Materialedata[[#This Row],[A1-A3/m²]:[C4/m²]]),0))
))</f>
        <v>.</v>
      </c>
      <c r="DA4" s="141" t="str">
        <f>IF(DA$2&gt;Input_Tidshorisont,BlankTegn,IF(DA$2=0,SUM(Materialedata[[#This Row],[A1-A3/m²]:[A4/m²]]),
CZ4+IF(DA$2=Input_Tidshorisont,SUM(Materialedata[[#This Row],[C3/m²]:[C4/m²]]),IF(MOD(DA$2,Materialedata[[#This Row],[Levetid]])=0,SUM(Materialedata[[#This Row],[A1-A3/m²]:[C4/m²]]),0))
))</f>
        <v>.</v>
      </c>
      <c r="DB4" s="141" t="str">
        <f>IF(DB$2&gt;Input_Tidshorisont,BlankTegn,IF(DB$2=0,SUM(Materialedata[[#This Row],[A1-A3/m²]:[A4/m²]]),
DA4+IF(DB$2=Input_Tidshorisont,SUM(Materialedata[[#This Row],[C3/m²]:[C4/m²]]),IF(MOD(DB$2,Materialedata[[#This Row],[Levetid]])=0,SUM(Materialedata[[#This Row],[A1-A3/m²]:[C4/m²]]),0))
))</f>
        <v>.</v>
      </c>
      <c r="DC4" s="141" t="str">
        <f>IF(DC$2&gt;Input_Tidshorisont,BlankTegn,IF(DC$2=0,SUM(Materialedata[[#This Row],[A1-A3/m²]:[A4/m²]]),
DB4+IF(DC$2=Input_Tidshorisont,SUM(Materialedata[[#This Row],[C3/m²]:[C4/m²]]),IF(MOD(DC$2,Materialedata[[#This Row],[Levetid]])=0,SUM(Materialedata[[#This Row],[A1-A3/m²]:[C4/m²]]),0))
))</f>
        <v>.</v>
      </c>
      <c r="DD4" s="141" t="str">
        <f>IF(DD$2&gt;Input_Tidshorisont,BlankTegn,IF(DD$2=0,SUM(Materialedata[[#This Row],[A1-A3/m²]:[A4/m²]]),
DC4+IF(DD$2=Input_Tidshorisont,SUM(Materialedata[[#This Row],[C3/m²]:[C4/m²]]),IF(MOD(DD$2,Materialedata[[#This Row],[Levetid]])=0,SUM(Materialedata[[#This Row],[A1-A3/m²]:[C4/m²]]),0))
))</f>
        <v>.</v>
      </c>
      <c r="DE4" s="141" t="str">
        <f>IF(DE$2&gt;Input_Tidshorisont,BlankTegn,IF(DE$2=0,SUM(Materialedata[[#This Row],[A1-A3/m²]:[A4/m²]]),
DD4+IF(DE$2=Input_Tidshorisont,SUM(Materialedata[[#This Row],[C3/m²]:[C4/m²]]),IF(MOD(DE$2,Materialedata[[#This Row],[Levetid]])=0,SUM(Materialedata[[#This Row],[A1-A3/m²]:[C4/m²]]),0))
))</f>
        <v>.</v>
      </c>
      <c r="DF4" s="141" t="str">
        <f>IF(DF$2&gt;Input_Tidshorisont,BlankTegn,IF(DF$2=0,SUM(Materialedata[[#This Row],[A1-A3/m²]:[A4/m²]]),
DE4+IF(DF$2=Input_Tidshorisont,SUM(Materialedata[[#This Row],[C3/m²]:[C4/m²]]),IF(MOD(DF$2,Materialedata[[#This Row],[Levetid]])=0,SUM(Materialedata[[#This Row],[A1-A3/m²]:[C4/m²]]),0))
))</f>
        <v>.</v>
      </c>
      <c r="DG4" s="141" t="str">
        <f>IF(DG$2&gt;Input_Tidshorisont,BlankTegn,IF(DG$2=0,SUM(Materialedata[[#This Row],[A1-A3/m²]:[A4/m²]]),
DF4+IF(DG$2=Input_Tidshorisont,SUM(Materialedata[[#This Row],[C3/m²]:[C4/m²]]),IF(MOD(DG$2,Materialedata[[#This Row],[Levetid]])=0,SUM(Materialedata[[#This Row],[A1-A3/m²]:[C4/m²]]),0))
))</f>
        <v>.</v>
      </c>
      <c r="DH4" s="141" t="str">
        <f>IF(DH$2&gt;Input_Tidshorisont,BlankTegn,IF(DH$2=0,SUM(Materialedata[[#This Row],[A1-A3/m²]:[A4/m²]]),
DG4+IF(DH$2=Input_Tidshorisont,SUM(Materialedata[[#This Row],[C3/m²]:[C4/m²]]),IF(MOD(DH$2,Materialedata[[#This Row],[Levetid]])=0,SUM(Materialedata[[#This Row],[A1-A3/m²]:[C4/m²]]),0))
))</f>
        <v>.</v>
      </c>
      <c r="DI4" s="141" t="str">
        <f>IF(DI$2&gt;Input_Tidshorisont,BlankTegn,IF(DI$2=0,SUM(Materialedata[[#This Row],[A1-A3/m²]:[A4/m²]]),
DH4+IF(DI$2=Input_Tidshorisont,SUM(Materialedata[[#This Row],[C3/m²]:[C4/m²]]),IF(MOD(DI$2,Materialedata[[#This Row],[Levetid]])=0,SUM(Materialedata[[#This Row],[A1-A3/m²]:[C4/m²]]),0))
))</f>
        <v>.</v>
      </c>
      <c r="DJ4" s="141" t="str">
        <f>IF(DJ$2&gt;Input_Tidshorisont,BlankTegn,IF(DJ$2=0,SUM(Materialedata[[#This Row],[A1-A3/m²]:[A4/m²]]),
DI4+IF(DJ$2=Input_Tidshorisont,SUM(Materialedata[[#This Row],[C3/m²]:[C4/m²]]),IF(MOD(DJ$2,Materialedata[[#This Row],[Levetid]])=0,SUM(Materialedata[[#This Row],[A1-A3/m²]:[C4/m²]]),0))
))</f>
        <v>.</v>
      </c>
      <c r="DK4" s="141" t="str">
        <f>IF(DK$2&gt;Input_Tidshorisont,BlankTegn,IF(DK$2=0,SUM(Materialedata[[#This Row],[A1-A3/m²]:[A4/m²]]),
DJ4+IF(DK$2=Input_Tidshorisont,SUM(Materialedata[[#This Row],[C3/m²]:[C4/m²]]),IF(MOD(DK$2,Materialedata[[#This Row],[Levetid]])=0,SUM(Materialedata[[#This Row],[A1-A3/m²]:[C4/m²]]),0))
))</f>
        <v>.</v>
      </c>
      <c r="DL4" s="141" t="str">
        <f>IF(DL$2&gt;Input_Tidshorisont,BlankTegn,IF(DL$2=0,SUM(Materialedata[[#This Row],[A1-A3/m²]:[A4/m²]]),
DK4+IF(DL$2=Input_Tidshorisont,SUM(Materialedata[[#This Row],[C3/m²]:[C4/m²]]),IF(MOD(DL$2,Materialedata[[#This Row],[Levetid]])=0,SUM(Materialedata[[#This Row],[A1-A3/m²]:[C4/m²]]),0))
))</f>
        <v>.</v>
      </c>
      <c r="DM4" s="19"/>
    </row>
    <row r="5" spans="1:117">
      <c r="A5" s="182" t="s">
        <v>33</v>
      </c>
      <c r="B5" s="182" t="s">
        <v>132</v>
      </c>
      <c r="C5" s="148" t="s">
        <v>131</v>
      </c>
      <c r="D5" s="184"/>
      <c r="E5" s="180" t="s">
        <v>133</v>
      </c>
      <c r="F5" s="182" t="s">
        <v>134</v>
      </c>
      <c r="G5" s="182">
        <v>80</v>
      </c>
      <c r="H5" s="183">
        <v>1400</v>
      </c>
      <c r="I5" s="184">
        <f>8*1.4</f>
        <v>11.2</v>
      </c>
      <c r="J5" s="184" t="s">
        <v>101</v>
      </c>
      <c r="K5" s="182">
        <f>446/1000</f>
        <v>0.44600000000000001</v>
      </c>
      <c r="L5" s="182" t="s">
        <v>212</v>
      </c>
      <c r="M5" s="185">
        <f>IF(ISBLANK(Materialedata[[#This Row],[A4-gruppe]]),BlankTegn,INDEX(Byggeproces[GWP],MATCH(Materialedata[[#This Row],[A4-gruppe]],Byggeproces[Gruppe/Undergruppe],0)))</f>
        <v>2.0899999999999998E-2</v>
      </c>
      <c r="N5" s="182">
        <v>0</v>
      </c>
      <c r="O5" s="182">
        <f>5.81/1000</f>
        <v>5.8099999999999992E-3</v>
      </c>
      <c r="P5" s="182">
        <v>0</v>
      </c>
      <c r="Q5" s="279">
        <f>Materialedata[[#This Row],[A1-A3/standardenhed]]*Materialedata[[#This Row],[Mængde/m²]]</f>
        <v>4.9951999999999996</v>
      </c>
      <c r="R5" s="276" cm="1">
        <f t="array" ref="R5">IFERROR(_xlfn.IFS(Materialedata[[#This Row],[Mængde-enhed]]="kg/m²",Materialedata[[#This Row],[A4/kg]]*Materialedata[[#This Row],[Mængde/m²]],Materialedata[[#This Row],[Mængde-enhed]]="m³/m²",Materialedata[[#This Row],[A4/kg]]*Materialedata[[#This Row],[Mængde/m²]]*Materialedata[[#This Row],[Densitet]]),"N/A")</f>
        <v>0.23407999999999995</v>
      </c>
      <c r="S5" s="188">
        <f>Materialedata[[#This Row],[C3/enhed]]*Materialedata[[#This Row],[Mængde/m²]]</f>
        <v>0</v>
      </c>
      <c r="T5" s="188">
        <f>Materialedata[[#This Row],[C4/enhed]]*Materialedata[[#This Row],[Mængde/m²]]</f>
        <v>6.5071999999999991E-2</v>
      </c>
      <c r="U5" s="188">
        <f>Materialedata[[#This Row],[D/enhed]]*Materialedata[[#This Row],[Mængde/m²]]</f>
        <v>0</v>
      </c>
      <c r="V5" s="150">
        <f>IFERROR(INDEX(Range_Materiale_Genbrug,MATCH(Materialedata[[#This Row],[Komponent]],Facadekomponenter,0)),BlankTegn)</f>
        <v>0</v>
      </c>
      <c r="W5" s="150">
        <f>IFERROR(1-Materialedata[[#This Row],[Genbrug]],BlankTegn)</f>
        <v>1</v>
      </c>
      <c r="X5" s="186">
        <f>IFERROR(Materialedata[[#This Row],[A1-A3/m²_nyt]]*Materialedata[[#This Row],[Nyt]],BlankTegn)</f>
        <v>4.9951999999999996</v>
      </c>
      <c r="Y5" s="186">
        <f>Materialedata[[#This Row],[A4/m²_nyt]]</f>
        <v>0.23407999999999995</v>
      </c>
      <c r="Z5" s="186">
        <f>IFERROR(Materialedata[[#This Row],[C3/m²_nyt]]*Materialedata[[#This Row],[Nyt]],BlankTegn)</f>
        <v>0</v>
      </c>
      <c r="AA5" s="186">
        <f>IFERROR(Materialedata[[#This Row],[C4/m²_nyt]]*Materialedata[[#This Row],[Nyt]],BlankTegn)</f>
        <v>6.5071999999999991E-2</v>
      </c>
      <c r="AB5" s="186">
        <f>IFERROR(Materialedata[[#This Row],[D/m²_nyt]]*Materialedata[[#This Row],[Nyt]],BlankTegn)</f>
        <v>0</v>
      </c>
      <c r="AC5" s="187">
        <v>417.94943092464314</v>
      </c>
      <c r="AD5" s="188" t="s">
        <v>29</v>
      </c>
      <c r="AE5" s="182">
        <v>1</v>
      </c>
      <c r="AF5" s="189">
        <f>Materialedata[[#This Row],[Pris/enhed]]*Materialedata[[#This Row],[Omregning]]</f>
        <v>417.94943092464314</v>
      </c>
      <c r="AG5" s="190">
        <v>0.01</v>
      </c>
      <c r="AH5" s="191">
        <v>1</v>
      </c>
      <c r="AI5" s="162">
        <v>0</v>
      </c>
      <c r="AJ5" s="141">
        <f>IF(AJ$2&gt;Input_Tidshorisont,BlankTegn,IF(AJ$2=0,SUM(Materialedata[[#This Row],[A1-A3/m²]:[A4/m²]]),
AI5+IF(AJ$2=Input_Tidshorisont,SUM(Materialedata[[#This Row],[C3/m²]:[C4/m²]]),IF(MOD(AJ$2,Materialedata[[#This Row],[Levetid]])=0,SUM(Materialedata[[#This Row],[A1-A3/m²]:[C4/m²]]),0))
))</f>
        <v>5.2292799999999993</v>
      </c>
      <c r="AK5" s="141">
        <f>IF(AK$2&gt;Input_Tidshorisont,BlankTegn,IF(AK$2=0,SUM(Materialedata[[#This Row],[A1-A3/m²]:[A4/m²]]),
AJ5+IF(AK$2=Input_Tidshorisont,SUM(Materialedata[[#This Row],[C3/m²]:[C4/m²]]),IF(MOD(AK$2,Materialedata[[#This Row],[Levetid]])=0,SUM(Materialedata[[#This Row],[A1-A3/m²]:[C4/m²]]),0))
))</f>
        <v>5.2292799999999993</v>
      </c>
      <c r="AL5" s="141">
        <f>IF(AL$2&gt;Input_Tidshorisont,BlankTegn,IF(AL$2=0,SUM(Materialedata[[#This Row],[A1-A3/m²]:[A4/m²]]),
AK5+IF(AL$2=Input_Tidshorisont,SUM(Materialedata[[#This Row],[C3/m²]:[C4/m²]]),IF(MOD(AL$2,Materialedata[[#This Row],[Levetid]])=0,SUM(Materialedata[[#This Row],[A1-A3/m²]:[C4/m²]]),0))
))</f>
        <v>5.2292799999999993</v>
      </c>
      <c r="AM5" s="141">
        <f>IF(AM$2&gt;Input_Tidshorisont,BlankTegn,IF(AM$2=0,SUM(Materialedata[[#This Row],[A1-A3/m²]:[A4/m²]]),
AL5+IF(AM$2=Input_Tidshorisont,SUM(Materialedata[[#This Row],[C3/m²]:[C4/m²]]),IF(MOD(AM$2,Materialedata[[#This Row],[Levetid]])=0,SUM(Materialedata[[#This Row],[A1-A3/m²]:[C4/m²]]),0))
))</f>
        <v>5.2292799999999993</v>
      </c>
      <c r="AN5" s="141">
        <f>IF(AN$2&gt;Input_Tidshorisont,BlankTegn,IF(AN$2=0,SUM(Materialedata[[#This Row],[A1-A3/m²]:[A4/m²]]),
AM5+IF(AN$2=Input_Tidshorisont,SUM(Materialedata[[#This Row],[C3/m²]:[C4/m²]]),IF(MOD(AN$2,Materialedata[[#This Row],[Levetid]])=0,SUM(Materialedata[[#This Row],[A1-A3/m²]:[C4/m²]]),0))
))</f>
        <v>5.2292799999999993</v>
      </c>
      <c r="AO5" s="141">
        <f>IF(AO$2&gt;Input_Tidshorisont,BlankTegn,IF(AO$2=0,SUM(Materialedata[[#This Row],[A1-A3/m²]:[A4/m²]]),
AN5+IF(AO$2=Input_Tidshorisont,SUM(Materialedata[[#This Row],[C3/m²]:[C4/m²]]),IF(MOD(AO$2,Materialedata[[#This Row],[Levetid]])=0,SUM(Materialedata[[#This Row],[A1-A3/m²]:[C4/m²]]),0))
))</f>
        <v>5.2292799999999993</v>
      </c>
      <c r="AP5" s="141">
        <f>IF(AP$2&gt;Input_Tidshorisont,BlankTegn,IF(AP$2=0,SUM(Materialedata[[#This Row],[A1-A3/m²]:[A4/m²]]),
AO5+IF(AP$2=Input_Tidshorisont,SUM(Materialedata[[#This Row],[C3/m²]:[C4/m²]]),IF(MOD(AP$2,Materialedata[[#This Row],[Levetid]])=0,SUM(Materialedata[[#This Row],[A1-A3/m²]:[C4/m²]]),0))
))</f>
        <v>5.2292799999999993</v>
      </c>
      <c r="AQ5" s="141">
        <f>IF(AQ$2&gt;Input_Tidshorisont,BlankTegn,IF(AQ$2=0,SUM(Materialedata[[#This Row],[A1-A3/m²]:[A4/m²]]),
AP5+IF(AQ$2=Input_Tidshorisont,SUM(Materialedata[[#This Row],[C3/m²]:[C4/m²]]),IF(MOD(AQ$2,Materialedata[[#This Row],[Levetid]])=0,SUM(Materialedata[[#This Row],[A1-A3/m²]:[C4/m²]]),0))
))</f>
        <v>5.2292799999999993</v>
      </c>
      <c r="AR5" s="141">
        <f>IF(AR$2&gt;Input_Tidshorisont,BlankTegn,IF(AR$2=0,SUM(Materialedata[[#This Row],[A1-A3/m²]:[A4/m²]]),
AQ5+IF(AR$2=Input_Tidshorisont,SUM(Materialedata[[#This Row],[C3/m²]:[C4/m²]]),IF(MOD(AR$2,Materialedata[[#This Row],[Levetid]])=0,SUM(Materialedata[[#This Row],[A1-A3/m²]:[C4/m²]]),0))
))</f>
        <v>5.2292799999999993</v>
      </c>
      <c r="AS5" s="141">
        <f>IF(AS$2&gt;Input_Tidshorisont,BlankTegn,IF(AS$2=0,SUM(Materialedata[[#This Row],[A1-A3/m²]:[A4/m²]]),
AR5+IF(AS$2=Input_Tidshorisont,SUM(Materialedata[[#This Row],[C3/m²]:[C4/m²]]),IF(MOD(AS$2,Materialedata[[#This Row],[Levetid]])=0,SUM(Materialedata[[#This Row],[A1-A3/m²]:[C4/m²]]),0))
))</f>
        <v>5.2292799999999993</v>
      </c>
      <c r="AT5" s="141">
        <f>IF(AT$2&gt;Input_Tidshorisont,BlankTegn,IF(AT$2=0,SUM(Materialedata[[#This Row],[A1-A3/m²]:[A4/m²]]),
AS5+IF(AT$2=Input_Tidshorisont,SUM(Materialedata[[#This Row],[C3/m²]:[C4/m²]]),IF(MOD(AT$2,Materialedata[[#This Row],[Levetid]])=0,SUM(Materialedata[[#This Row],[A1-A3/m²]:[C4/m²]]),0))
))</f>
        <v>5.2292799999999993</v>
      </c>
      <c r="AU5" s="141">
        <f>IF(AU$2&gt;Input_Tidshorisont,BlankTegn,IF(AU$2=0,SUM(Materialedata[[#This Row],[A1-A3/m²]:[A4/m²]]),
AT5+IF(AU$2=Input_Tidshorisont,SUM(Materialedata[[#This Row],[C3/m²]:[C4/m²]]),IF(MOD(AU$2,Materialedata[[#This Row],[Levetid]])=0,SUM(Materialedata[[#This Row],[A1-A3/m²]:[C4/m²]]),0))
))</f>
        <v>5.2292799999999993</v>
      </c>
      <c r="AV5" s="141">
        <f>IF(AV$2&gt;Input_Tidshorisont,BlankTegn,IF(AV$2=0,SUM(Materialedata[[#This Row],[A1-A3/m²]:[A4/m²]]),
AU5+IF(AV$2=Input_Tidshorisont,SUM(Materialedata[[#This Row],[C3/m²]:[C4/m²]]),IF(MOD(AV$2,Materialedata[[#This Row],[Levetid]])=0,SUM(Materialedata[[#This Row],[A1-A3/m²]:[C4/m²]]),0))
))</f>
        <v>5.2292799999999993</v>
      </c>
      <c r="AW5" s="141">
        <f>IF(AW$2&gt;Input_Tidshorisont,BlankTegn,IF(AW$2=0,SUM(Materialedata[[#This Row],[A1-A3/m²]:[A4/m²]]),
AV5+IF(AW$2=Input_Tidshorisont,SUM(Materialedata[[#This Row],[C3/m²]:[C4/m²]]),IF(MOD(AW$2,Materialedata[[#This Row],[Levetid]])=0,SUM(Materialedata[[#This Row],[A1-A3/m²]:[C4/m²]]),0))
))</f>
        <v>5.2292799999999993</v>
      </c>
      <c r="AX5" s="141">
        <f>IF(AX$2&gt;Input_Tidshorisont,BlankTegn,IF(AX$2=0,SUM(Materialedata[[#This Row],[A1-A3/m²]:[A4/m²]]),
AW5+IF(AX$2=Input_Tidshorisont,SUM(Materialedata[[#This Row],[C3/m²]:[C4/m²]]),IF(MOD(AX$2,Materialedata[[#This Row],[Levetid]])=0,SUM(Materialedata[[#This Row],[A1-A3/m²]:[C4/m²]]),0))
))</f>
        <v>5.2292799999999993</v>
      </c>
      <c r="AY5" s="141">
        <f>IF(AY$2&gt;Input_Tidshorisont,BlankTegn,IF(AY$2=0,SUM(Materialedata[[#This Row],[A1-A3/m²]:[A4/m²]]),
AX5+IF(AY$2=Input_Tidshorisont,SUM(Materialedata[[#This Row],[C3/m²]:[C4/m²]]),IF(MOD(AY$2,Materialedata[[#This Row],[Levetid]])=0,SUM(Materialedata[[#This Row],[A1-A3/m²]:[C4/m²]]),0))
))</f>
        <v>5.2292799999999993</v>
      </c>
      <c r="AZ5" s="141">
        <f>IF(AZ$2&gt;Input_Tidshorisont,BlankTegn,IF(AZ$2=0,SUM(Materialedata[[#This Row],[A1-A3/m²]:[A4/m²]]),
AY5+IF(AZ$2=Input_Tidshorisont,SUM(Materialedata[[#This Row],[C3/m²]:[C4/m²]]),IF(MOD(AZ$2,Materialedata[[#This Row],[Levetid]])=0,SUM(Materialedata[[#This Row],[A1-A3/m²]:[C4/m²]]),0))
))</f>
        <v>5.2292799999999993</v>
      </c>
      <c r="BA5" s="141">
        <f>IF(BA$2&gt;Input_Tidshorisont,BlankTegn,IF(BA$2=0,SUM(Materialedata[[#This Row],[A1-A3/m²]:[A4/m²]]),
AZ5+IF(BA$2=Input_Tidshorisont,SUM(Materialedata[[#This Row],[C3/m²]:[C4/m²]]),IF(MOD(BA$2,Materialedata[[#This Row],[Levetid]])=0,SUM(Materialedata[[#This Row],[A1-A3/m²]:[C4/m²]]),0))
))</f>
        <v>5.2292799999999993</v>
      </c>
      <c r="BB5" s="141">
        <f>IF(BB$2&gt;Input_Tidshorisont,BlankTegn,IF(BB$2=0,SUM(Materialedata[[#This Row],[A1-A3/m²]:[A4/m²]]),
BA5+IF(BB$2=Input_Tidshorisont,SUM(Materialedata[[#This Row],[C3/m²]:[C4/m²]]),IF(MOD(BB$2,Materialedata[[#This Row],[Levetid]])=0,SUM(Materialedata[[#This Row],[A1-A3/m²]:[C4/m²]]),0))
))</f>
        <v>5.2292799999999993</v>
      </c>
      <c r="BC5" s="141">
        <f>IF(BC$2&gt;Input_Tidshorisont,BlankTegn,IF(BC$2=0,SUM(Materialedata[[#This Row],[A1-A3/m²]:[A4/m²]]),
BB5+IF(BC$2=Input_Tidshorisont,SUM(Materialedata[[#This Row],[C3/m²]:[C4/m²]]),IF(MOD(BC$2,Materialedata[[#This Row],[Levetid]])=0,SUM(Materialedata[[#This Row],[A1-A3/m²]:[C4/m²]]),0))
))</f>
        <v>5.2292799999999993</v>
      </c>
      <c r="BD5" s="141">
        <f>IF(BD$2&gt;Input_Tidshorisont,BlankTegn,IF(BD$2=0,SUM(Materialedata[[#This Row],[A1-A3/m²]:[A4/m²]]),
BC5+IF(BD$2=Input_Tidshorisont,SUM(Materialedata[[#This Row],[C3/m²]:[C4/m²]]),IF(MOD(BD$2,Materialedata[[#This Row],[Levetid]])=0,SUM(Materialedata[[#This Row],[A1-A3/m²]:[C4/m²]]),0))
))</f>
        <v>5.2292799999999993</v>
      </c>
      <c r="BE5" s="141">
        <f>IF(BE$2&gt;Input_Tidshorisont,BlankTegn,IF(BE$2=0,SUM(Materialedata[[#This Row],[A1-A3/m²]:[A4/m²]]),
BD5+IF(BE$2=Input_Tidshorisont,SUM(Materialedata[[#This Row],[C3/m²]:[C4/m²]]),IF(MOD(BE$2,Materialedata[[#This Row],[Levetid]])=0,SUM(Materialedata[[#This Row],[A1-A3/m²]:[C4/m²]]),0))
))</f>
        <v>5.2292799999999993</v>
      </c>
      <c r="BF5" s="141">
        <f>IF(BF$2&gt;Input_Tidshorisont,BlankTegn,IF(BF$2=0,SUM(Materialedata[[#This Row],[A1-A3/m²]:[A4/m²]]),
BE5+IF(BF$2=Input_Tidshorisont,SUM(Materialedata[[#This Row],[C3/m²]:[C4/m²]]),IF(MOD(BF$2,Materialedata[[#This Row],[Levetid]])=0,SUM(Materialedata[[#This Row],[A1-A3/m²]:[C4/m²]]),0))
))</f>
        <v>5.2292799999999993</v>
      </c>
      <c r="BG5" s="141">
        <f>IF(BG$2&gt;Input_Tidshorisont,BlankTegn,IF(BG$2=0,SUM(Materialedata[[#This Row],[A1-A3/m²]:[A4/m²]]),
BF5+IF(BG$2=Input_Tidshorisont,SUM(Materialedata[[#This Row],[C3/m²]:[C4/m²]]),IF(MOD(BG$2,Materialedata[[#This Row],[Levetid]])=0,SUM(Materialedata[[#This Row],[A1-A3/m²]:[C4/m²]]),0))
))</f>
        <v>5.2292799999999993</v>
      </c>
      <c r="BH5" s="141">
        <f>IF(BH$2&gt;Input_Tidshorisont,BlankTegn,IF(BH$2=0,SUM(Materialedata[[#This Row],[A1-A3/m²]:[A4/m²]]),
BG5+IF(BH$2=Input_Tidshorisont,SUM(Materialedata[[#This Row],[C3/m²]:[C4/m²]]),IF(MOD(BH$2,Materialedata[[#This Row],[Levetid]])=0,SUM(Materialedata[[#This Row],[A1-A3/m²]:[C4/m²]]),0))
))</f>
        <v>5.2292799999999993</v>
      </c>
      <c r="BI5" s="141">
        <f>IF(BI$2&gt;Input_Tidshorisont,BlankTegn,IF(BI$2=0,SUM(Materialedata[[#This Row],[A1-A3/m²]:[A4/m²]]),
BH5+IF(BI$2=Input_Tidshorisont,SUM(Materialedata[[#This Row],[C3/m²]:[C4/m²]]),IF(MOD(BI$2,Materialedata[[#This Row],[Levetid]])=0,SUM(Materialedata[[#This Row],[A1-A3/m²]:[C4/m²]]),0))
))</f>
        <v>5.2292799999999993</v>
      </c>
      <c r="BJ5" s="141">
        <f>IF(BJ$2&gt;Input_Tidshorisont,BlankTegn,IF(BJ$2=0,SUM(Materialedata[[#This Row],[A1-A3/m²]:[A4/m²]]),
BI5+IF(BJ$2=Input_Tidshorisont,SUM(Materialedata[[#This Row],[C3/m²]:[C4/m²]]),IF(MOD(BJ$2,Materialedata[[#This Row],[Levetid]])=0,SUM(Materialedata[[#This Row],[A1-A3/m²]:[C4/m²]]),0))
))</f>
        <v>5.2292799999999993</v>
      </c>
      <c r="BK5" s="141">
        <f>IF(BK$2&gt;Input_Tidshorisont,BlankTegn,IF(BK$2=0,SUM(Materialedata[[#This Row],[A1-A3/m²]:[A4/m²]]),
BJ5+IF(BK$2=Input_Tidshorisont,SUM(Materialedata[[#This Row],[C3/m²]:[C4/m²]]),IF(MOD(BK$2,Materialedata[[#This Row],[Levetid]])=0,SUM(Materialedata[[#This Row],[A1-A3/m²]:[C4/m²]]),0))
))</f>
        <v>5.2292799999999993</v>
      </c>
      <c r="BL5" s="141">
        <f>IF(BL$2&gt;Input_Tidshorisont,BlankTegn,IF(BL$2=0,SUM(Materialedata[[#This Row],[A1-A3/m²]:[A4/m²]]),
BK5+IF(BL$2=Input_Tidshorisont,SUM(Materialedata[[#This Row],[C3/m²]:[C4/m²]]),IF(MOD(BL$2,Materialedata[[#This Row],[Levetid]])=0,SUM(Materialedata[[#This Row],[A1-A3/m²]:[C4/m²]]),0))
))</f>
        <v>5.2292799999999993</v>
      </c>
      <c r="BM5" s="141">
        <f>IF(BM$2&gt;Input_Tidshorisont,BlankTegn,IF(BM$2=0,SUM(Materialedata[[#This Row],[A1-A3/m²]:[A4/m²]]),
BL5+IF(BM$2=Input_Tidshorisont,SUM(Materialedata[[#This Row],[C3/m²]:[C4/m²]]),IF(MOD(BM$2,Materialedata[[#This Row],[Levetid]])=0,SUM(Materialedata[[#This Row],[A1-A3/m²]:[C4/m²]]),0))
))</f>
        <v>5.2292799999999993</v>
      </c>
      <c r="BN5" s="141">
        <f>IF(BN$2&gt;Input_Tidshorisont,BlankTegn,IF(BN$2=0,SUM(Materialedata[[#This Row],[A1-A3/m²]:[A4/m²]]),
BM5+IF(BN$2=Input_Tidshorisont,SUM(Materialedata[[#This Row],[C3/m²]:[C4/m²]]),IF(MOD(BN$2,Materialedata[[#This Row],[Levetid]])=0,SUM(Materialedata[[#This Row],[A1-A3/m²]:[C4/m²]]),0))
))</f>
        <v>5.2292799999999993</v>
      </c>
      <c r="BO5" s="141">
        <f>IF(BO$2&gt;Input_Tidshorisont,BlankTegn,IF(BO$2=0,SUM(Materialedata[[#This Row],[A1-A3/m²]:[A4/m²]]),
BN5+IF(BO$2=Input_Tidshorisont,SUM(Materialedata[[#This Row],[C3/m²]:[C4/m²]]),IF(MOD(BO$2,Materialedata[[#This Row],[Levetid]])=0,SUM(Materialedata[[#This Row],[A1-A3/m²]:[C4/m²]]),0))
))</f>
        <v>5.2292799999999993</v>
      </c>
      <c r="BP5" s="141">
        <f>IF(BP$2&gt;Input_Tidshorisont,BlankTegn,IF(BP$2=0,SUM(Materialedata[[#This Row],[A1-A3/m²]:[A4/m²]]),
BO5+IF(BP$2=Input_Tidshorisont,SUM(Materialedata[[#This Row],[C3/m²]:[C4/m²]]),IF(MOD(BP$2,Materialedata[[#This Row],[Levetid]])=0,SUM(Materialedata[[#This Row],[A1-A3/m²]:[C4/m²]]),0))
))</f>
        <v>5.2292799999999993</v>
      </c>
      <c r="BQ5" s="141">
        <f>IF(BQ$2&gt;Input_Tidshorisont,BlankTegn,IF(BQ$2=0,SUM(Materialedata[[#This Row],[A1-A3/m²]:[A4/m²]]),
BP5+IF(BQ$2=Input_Tidshorisont,SUM(Materialedata[[#This Row],[C3/m²]:[C4/m²]]),IF(MOD(BQ$2,Materialedata[[#This Row],[Levetid]])=0,SUM(Materialedata[[#This Row],[A1-A3/m²]:[C4/m²]]),0))
))</f>
        <v>5.2292799999999993</v>
      </c>
      <c r="BR5" s="141">
        <f>IF(BR$2&gt;Input_Tidshorisont,BlankTegn,IF(BR$2=0,SUM(Materialedata[[#This Row],[A1-A3/m²]:[A4/m²]]),
BQ5+IF(BR$2=Input_Tidshorisont,SUM(Materialedata[[#This Row],[C3/m²]:[C4/m²]]),IF(MOD(BR$2,Materialedata[[#This Row],[Levetid]])=0,SUM(Materialedata[[#This Row],[A1-A3/m²]:[C4/m²]]),0))
))</f>
        <v>5.2292799999999993</v>
      </c>
      <c r="BS5" s="141">
        <f>IF(BS$2&gt;Input_Tidshorisont,BlankTegn,IF(BS$2=0,SUM(Materialedata[[#This Row],[A1-A3/m²]:[A4/m²]]),
BR5+IF(BS$2=Input_Tidshorisont,SUM(Materialedata[[#This Row],[C3/m²]:[C4/m²]]),IF(MOD(BS$2,Materialedata[[#This Row],[Levetid]])=0,SUM(Materialedata[[#This Row],[A1-A3/m²]:[C4/m²]]),0))
))</f>
        <v>5.2292799999999993</v>
      </c>
      <c r="BT5" s="141">
        <f>IF(BT$2&gt;Input_Tidshorisont,BlankTegn,IF(BT$2=0,SUM(Materialedata[[#This Row],[A1-A3/m²]:[A4/m²]]),
BS5+IF(BT$2=Input_Tidshorisont,SUM(Materialedata[[#This Row],[C3/m²]:[C4/m²]]),IF(MOD(BT$2,Materialedata[[#This Row],[Levetid]])=0,SUM(Materialedata[[#This Row],[A1-A3/m²]:[C4/m²]]),0))
))</f>
        <v>5.2292799999999993</v>
      </c>
      <c r="BU5" s="141">
        <f>IF(BU$2&gt;Input_Tidshorisont,BlankTegn,IF(BU$2=0,SUM(Materialedata[[#This Row],[A1-A3/m²]:[A4/m²]]),
BT5+IF(BU$2=Input_Tidshorisont,SUM(Materialedata[[#This Row],[C3/m²]:[C4/m²]]),IF(MOD(BU$2,Materialedata[[#This Row],[Levetid]])=0,SUM(Materialedata[[#This Row],[A1-A3/m²]:[C4/m²]]),0))
))</f>
        <v>5.2292799999999993</v>
      </c>
      <c r="BV5" s="141">
        <f>IF(BV$2&gt;Input_Tidshorisont,BlankTegn,IF(BV$2=0,SUM(Materialedata[[#This Row],[A1-A3/m²]:[A4/m²]]),
BU5+IF(BV$2=Input_Tidshorisont,SUM(Materialedata[[#This Row],[C3/m²]:[C4/m²]]),IF(MOD(BV$2,Materialedata[[#This Row],[Levetid]])=0,SUM(Materialedata[[#This Row],[A1-A3/m²]:[C4/m²]]),0))
))</f>
        <v>5.2292799999999993</v>
      </c>
      <c r="BW5" s="141">
        <f>IF(BW$2&gt;Input_Tidshorisont,BlankTegn,IF(BW$2=0,SUM(Materialedata[[#This Row],[A1-A3/m²]:[A4/m²]]),
BV5+IF(BW$2=Input_Tidshorisont,SUM(Materialedata[[#This Row],[C3/m²]:[C4/m²]]),IF(MOD(BW$2,Materialedata[[#This Row],[Levetid]])=0,SUM(Materialedata[[#This Row],[A1-A3/m²]:[C4/m²]]),0))
))</f>
        <v>5.2292799999999993</v>
      </c>
      <c r="BX5" s="141">
        <f>IF(BX$2&gt;Input_Tidshorisont,BlankTegn,IF(BX$2=0,SUM(Materialedata[[#This Row],[A1-A3/m²]:[A4/m²]]),
BW5+IF(BX$2=Input_Tidshorisont,SUM(Materialedata[[#This Row],[C3/m²]:[C4/m²]]),IF(MOD(BX$2,Materialedata[[#This Row],[Levetid]])=0,SUM(Materialedata[[#This Row],[A1-A3/m²]:[C4/m²]]),0))
))</f>
        <v>5.2292799999999993</v>
      </c>
      <c r="BY5" s="141">
        <f>IF(BY$2&gt;Input_Tidshorisont,BlankTegn,IF(BY$2=0,SUM(Materialedata[[#This Row],[A1-A3/m²]:[A4/m²]]),
BX5+IF(BY$2=Input_Tidshorisont,SUM(Materialedata[[#This Row],[C3/m²]:[C4/m²]]),IF(MOD(BY$2,Materialedata[[#This Row],[Levetid]])=0,SUM(Materialedata[[#This Row],[A1-A3/m²]:[C4/m²]]),0))
))</f>
        <v>5.2292799999999993</v>
      </c>
      <c r="BZ5" s="141">
        <f>IF(BZ$2&gt;Input_Tidshorisont,BlankTegn,IF(BZ$2=0,SUM(Materialedata[[#This Row],[A1-A3/m²]:[A4/m²]]),
BY5+IF(BZ$2=Input_Tidshorisont,SUM(Materialedata[[#This Row],[C3/m²]:[C4/m²]]),IF(MOD(BZ$2,Materialedata[[#This Row],[Levetid]])=0,SUM(Materialedata[[#This Row],[A1-A3/m²]:[C4/m²]]),0))
))</f>
        <v>5.2292799999999993</v>
      </c>
      <c r="CA5" s="141">
        <f>IF(CA$2&gt;Input_Tidshorisont,BlankTegn,IF(CA$2=0,SUM(Materialedata[[#This Row],[A1-A3/m²]:[A4/m²]]),
BZ5+IF(CA$2=Input_Tidshorisont,SUM(Materialedata[[#This Row],[C3/m²]:[C4/m²]]),IF(MOD(CA$2,Materialedata[[#This Row],[Levetid]])=0,SUM(Materialedata[[#This Row],[A1-A3/m²]:[C4/m²]]),0))
))</f>
        <v>5.2292799999999993</v>
      </c>
      <c r="CB5" s="141">
        <f>IF(CB$2&gt;Input_Tidshorisont,BlankTegn,IF(CB$2=0,SUM(Materialedata[[#This Row],[A1-A3/m²]:[A4/m²]]),
CA5+IF(CB$2=Input_Tidshorisont,SUM(Materialedata[[#This Row],[C3/m²]:[C4/m²]]),IF(MOD(CB$2,Materialedata[[#This Row],[Levetid]])=0,SUM(Materialedata[[#This Row],[A1-A3/m²]:[C4/m²]]),0))
))</f>
        <v>5.2292799999999993</v>
      </c>
      <c r="CC5" s="141">
        <f>IF(CC$2&gt;Input_Tidshorisont,BlankTegn,IF(CC$2=0,SUM(Materialedata[[#This Row],[A1-A3/m²]:[A4/m²]]),
CB5+IF(CC$2=Input_Tidshorisont,SUM(Materialedata[[#This Row],[C3/m²]:[C4/m²]]),IF(MOD(CC$2,Materialedata[[#This Row],[Levetid]])=0,SUM(Materialedata[[#This Row],[A1-A3/m²]:[C4/m²]]),0))
))</f>
        <v>5.2292799999999993</v>
      </c>
      <c r="CD5" s="141">
        <f>IF(CD$2&gt;Input_Tidshorisont,BlankTegn,IF(CD$2=0,SUM(Materialedata[[#This Row],[A1-A3/m²]:[A4/m²]]),
CC5+IF(CD$2=Input_Tidshorisont,SUM(Materialedata[[#This Row],[C3/m²]:[C4/m²]]),IF(MOD(CD$2,Materialedata[[#This Row],[Levetid]])=0,SUM(Materialedata[[#This Row],[A1-A3/m²]:[C4/m²]]),0))
))</f>
        <v>5.2292799999999993</v>
      </c>
      <c r="CE5" s="141">
        <f>IF(CE$2&gt;Input_Tidshorisont,BlankTegn,IF(CE$2=0,SUM(Materialedata[[#This Row],[A1-A3/m²]:[A4/m²]]),
CD5+IF(CE$2=Input_Tidshorisont,SUM(Materialedata[[#This Row],[C3/m²]:[C4/m²]]),IF(MOD(CE$2,Materialedata[[#This Row],[Levetid]])=0,SUM(Materialedata[[#This Row],[A1-A3/m²]:[C4/m²]]),0))
))</f>
        <v>5.2292799999999993</v>
      </c>
      <c r="CF5" s="141">
        <f>IF(CF$2&gt;Input_Tidshorisont,BlankTegn,IF(CF$2=0,SUM(Materialedata[[#This Row],[A1-A3/m²]:[A4/m²]]),
CE5+IF(CF$2=Input_Tidshorisont,SUM(Materialedata[[#This Row],[C3/m²]:[C4/m²]]),IF(MOD(CF$2,Materialedata[[#This Row],[Levetid]])=0,SUM(Materialedata[[#This Row],[A1-A3/m²]:[C4/m²]]),0))
))</f>
        <v>5.2292799999999993</v>
      </c>
      <c r="CG5" s="141">
        <f>IF(CG$2&gt;Input_Tidshorisont,BlankTegn,IF(CG$2=0,SUM(Materialedata[[#This Row],[A1-A3/m²]:[A4/m²]]),
CF5+IF(CG$2=Input_Tidshorisont,SUM(Materialedata[[#This Row],[C3/m²]:[C4/m²]]),IF(MOD(CG$2,Materialedata[[#This Row],[Levetid]])=0,SUM(Materialedata[[#This Row],[A1-A3/m²]:[C4/m²]]),0))
))</f>
        <v>5.2292799999999993</v>
      </c>
      <c r="CH5" s="141">
        <f>IF(CH$2&gt;Input_Tidshorisont,BlankTegn,IF(CH$2=0,SUM(Materialedata[[#This Row],[A1-A3/m²]:[A4/m²]]),
CG5+IF(CH$2=Input_Tidshorisont,SUM(Materialedata[[#This Row],[C3/m²]:[C4/m²]]),IF(MOD(CH$2,Materialedata[[#This Row],[Levetid]])=0,SUM(Materialedata[[#This Row],[A1-A3/m²]:[C4/m²]]),0))
))</f>
        <v>5.2943519999999991</v>
      </c>
      <c r="CI5" s="141" t="str">
        <f>IF(CI$2&gt;Input_Tidshorisont,BlankTegn,IF(CI$2=0,SUM(Materialedata[[#This Row],[A1-A3/m²]:[A4/m²]]),
CH5+IF(CI$2=Input_Tidshorisont,SUM(Materialedata[[#This Row],[C3/m²]:[C4/m²]]),IF(MOD(CI$2,Materialedata[[#This Row],[Levetid]])=0,SUM(Materialedata[[#This Row],[A1-A3/m²]:[C4/m²]]),0))
))</f>
        <v>.</v>
      </c>
      <c r="CJ5" s="141" t="str">
        <f>IF(CJ$2&gt;Input_Tidshorisont,BlankTegn,IF(CJ$2=0,SUM(Materialedata[[#This Row],[A1-A3/m²]:[A4/m²]]),
CI5+IF(CJ$2=Input_Tidshorisont,SUM(Materialedata[[#This Row],[C3/m²]:[C4/m²]]),IF(MOD(CJ$2,Materialedata[[#This Row],[Levetid]])=0,SUM(Materialedata[[#This Row],[A1-A3/m²]:[C4/m²]]),0))
))</f>
        <v>.</v>
      </c>
      <c r="CK5" s="141" t="str">
        <f>IF(CK$2&gt;Input_Tidshorisont,BlankTegn,IF(CK$2=0,SUM(Materialedata[[#This Row],[A1-A3/m²]:[A4/m²]]),
CJ5+IF(CK$2=Input_Tidshorisont,SUM(Materialedata[[#This Row],[C3/m²]:[C4/m²]]),IF(MOD(CK$2,Materialedata[[#This Row],[Levetid]])=0,SUM(Materialedata[[#This Row],[A1-A3/m²]:[C4/m²]]),0))
))</f>
        <v>.</v>
      </c>
      <c r="CL5" s="141" t="str">
        <f>IF(CL$2&gt;Input_Tidshorisont,BlankTegn,IF(CL$2=0,SUM(Materialedata[[#This Row],[A1-A3/m²]:[A4/m²]]),
CK5+IF(CL$2=Input_Tidshorisont,SUM(Materialedata[[#This Row],[C3/m²]:[C4/m²]]),IF(MOD(CL$2,Materialedata[[#This Row],[Levetid]])=0,SUM(Materialedata[[#This Row],[A1-A3/m²]:[C4/m²]]),0))
))</f>
        <v>.</v>
      </c>
      <c r="CM5" s="141" t="str">
        <f>IF(CM$2&gt;Input_Tidshorisont,BlankTegn,IF(CM$2=0,SUM(Materialedata[[#This Row],[A1-A3/m²]:[A4/m²]]),
CL5+IF(CM$2=Input_Tidshorisont,SUM(Materialedata[[#This Row],[C3/m²]:[C4/m²]]),IF(MOD(CM$2,Materialedata[[#This Row],[Levetid]])=0,SUM(Materialedata[[#This Row],[A1-A3/m²]:[C4/m²]]),0))
))</f>
        <v>.</v>
      </c>
      <c r="CN5" s="141" t="str">
        <f>IF(CN$2&gt;Input_Tidshorisont,BlankTegn,IF(CN$2=0,SUM(Materialedata[[#This Row],[A1-A3/m²]:[A4/m²]]),
CM5+IF(CN$2=Input_Tidshorisont,SUM(Materialedata[[#This Row],[C3/m²]:[C4/m²]]),IF(MOD(CN$2,Materialedata[[#This Row],[Levetid]])=0,SUM(Materialedata[[#This Row],[A1-A3/m²]:[C4/m²]]),0))
))</f>
        <v>.</v>
      </c>
      <c r="CO5" s="141" t="str">
        <f>IF(CO$2&gt;Input_Tidshorisont,BlankTegn,IF(CO$2=0,SUM(Materialedata[[#This Row],[A1-A3/m²]:[A4/m²]]),
CN5+IF(CO$2=Input_Tidshorisont,SUM(Materialedata[[#This Row],[C3/m²]:[C4/m²]]),IF(MOD(CO$2,Materialedata[[#This Row],[Levetid]])=0,SUM(Materialedata[[#This Row],[A1-A3/m²]:[C4/m²]]),0))
))</f>
        <v>.</v>
      </c>
      <c r="CP5" s="141" t="str">
        <f>IF(CP$2&gt;Input_Tidshorisont,BlankTegn,IF(CP$2=0,SUM(Materialedata[[#This Row],[A1-A3/m²]:[A4/m²]]),
CO5+IF(CP$2=Input_Tidshorisont,SUM(Materialedata[[#This Row],[C3/m²]:[C4/m²]]),IF(MOD(CP$2,Materialedata[[#This Row],[Levetid]])=0,SUM(Materialedata[[#This Row],[A1-A3/m²]:[C4/m²]]),0))
))</f>
        <v>.</v>
      </c>
      <c r="CQ5" s="141" t="str">
        <f>IF(CQ$2&gt;Input_Tidshorisont,BlankTegn,IF(CQ$2=0,SUM(Materialedata[[#This Row],[A1-A3/m²]:[A4/m²]]),
CP5+IF(CQ$2=Input_Tidshorisont,SUM(Materialedata[[#This Row],[C3/m²]:[C4/m²]]),IF(MOD(CQ$2,Materialedata[[#This Row],[Levetid]])=0,SUM(Materialedata[[#This Row],[A1-A3/m²]:[C4/m²]]),0))
))</f>
        <v>.</v>
      </c>
      <c r="CR5" s="141" t="str">
        <f>IF(CR$2&gt;Input_Tidshorisont,BlankTegn,IF(CR$2=0,SUM(Materialedata[[#This Row],[A1-A3/m²]:[A4/m²]]),
CQ5+IF(CR$2=Input_Tidshorisont,SUM(Materialedata[[#This Row],[C3/m²]:[C4/m²]]),IF(MOD(CR$2,Materialedata[[#This Row],[Levetid]])=0,SUM(Materialedata[[#This Row],[A1-A3/m²]:[C4/m²]]),0))
))</f>
        <v>.</v>
      </c>
      <c r="CS5" s="141" t="str">
        <f>IF(CS$2&gt;Input_Tidshorisont,BlankTegn,IF(CS$2=0,SUM(Materialedata[[#This Row],[A1-A3/m²]:[A4/m²]]),
CR5+IF(CS$2=Input_Tidshorisont,SUM(Materialedata[[#This Row],[C3/m²]:[C4/m²]]),IF(MOD(CS$2,Materialedata[[#This Row],[Levetid]])=0,SUM(Materialedata[[#This Row],[A1-A3/m²]:[C4/m²]]),0))
))</f>
        <v>.</v>
      </c>
      <c r="CT5" s="141" t="str">
        <f>IF(CT$2&gt;Input_Tidshorisont,BlankTegn,IF(CT$2=0,SUM(Materialedata[[#This Row],[A1-A3/m²]:[A4/m²]]),
CS5+IF(CT$2=Input_Tidshorisont,SUM(Materialedata[[#This Row],[C3/m²]:[C4/m²]]),IF(MOD(CT$2,Materialedata[[#This Row],[Levetid]])=0,SUM(Materialedata[[#This Row],[A1-A3/m²]:[C4/m²]]),0))
))</f>
        <v>.</v>
      </c>
      <c r="CU5" s="141" t="str">
        <f>IF(CU$2&gt;Input_Tidshorisont,BlankTegn,IF(CU$2=0,SUM(Materialedata[[#This Row],[A1-A3/m²]:[A4/m²]]),
CT5+IF(CU$2=Input_Tidshorisont,SUM(Materialedata[[#This Row],[C3/m²]:[C4/m²]]),IF(MOD(CU$2,Materialedata[[#This Row],[Levetid]])=0,SUM(Materialedata[[#This Row],[A1-A3/m²]:[C4/m²]]),0))
))</f>
        <v>.</v>
      </c>
      <c r="CV5" s="141" t="str">
        <f>IF(CV$2&gt;Input_Tidshorisont,BlankTegn,IF(CV$2=0,SUM(Materialedata[[#This Row],[A1-A3/m²]:[A4/m²]]),
CU5+IF(CV$2=Input_Tidshorisont,SUM(Materialedata[[#This Row],[C3/m²]:[C4/m²]]),IF(MOD(CV$2,Materialedata[[#This Row],[Levetid]])=0,SUM(Materialedata[[#This Row],[A1-A3/m²]:[C4/m²]]),0))
))</f>
        <v>.</v>
      </c>
      <c r="CW5" s="141" t="str">
        <f>IF(CW$2&gt;Input_Tidshorisont,BlankTegn,IF(CW$2=0,SUM(Materialedata[[#This Row],[A1-A3/m²]:[A4/m²]]),
CV5+IF(CW$2=Input_Tidshorisont,SUM(Materialedata[[#This Row],[C3/m²]:[C4/m²]]),IF(MOD(CW$2,Materialedata[[#This Row],[Levetid]])=0,SUM(Materialedata[[#This Row],[A1-A3/m²]:[C4/m²]]),0))
))</f>
        <v>.</v>
      </c>
      <c r="CX5" s="141" t="str">
        <f>IF(CX$2&gt;Input_Tidshorisont,BlankTegn,IF(CX$2=0,SUM(Materialedata[[#This Row],[A1-A3/m²]:[A4/m²]]),
CW5+IF(CX$2=Input_Tidshorisont,SUM(Materialedata[[#This Row],[C3/m²]:[C4/m²]]),IF(MOD(CX$2,Materialedata[[#This Row],[Levetid]])=0,SUM(Materialedata[[#This Row],[A1-A3/m²]:[C4/m²]]),0))
))</f>
        <v>.</v>
      </c>
      <c r="CY5" s="141" t="str">
        <f>IF(CY$2&gt;Input_Tidshorisont,BlankTegn,IF(CY$2=0,SUM(Materialedata[[#This Row],[A1-A3/m²]:[A4/m²]]),
CX5+IF(CY$2=Input_Tidshorisont,SUM(Materialedata[[#This Row],[C3/m²]:[C4/m²]]),IF(MOD(CY$2,Materialedata[[#This Row],[Levetid]])=0,SUM(Materialedata[[#This Row],[A1-A3/m²]:[C4/m²]]),0))
))</f>
        <v>.</v>
      </c>
      <c r="CZ5" s="141" t="str">
        <f>IF(CZ$2&gt;Input_Tidshorisont,BlankTegn,IF(CZ$2=0,SUM(Materialedata[[#This Row],[A1-A3/m²]:[A4/m²]]),
CY5+IF(CZ$2=Input_Tidshorisont,SUM(Materialedata[[#This Row],[C3/m²]:[C4/m²]]),IF(MOD(CZ$2,Materialedata[[#This Row],[Levetid]])=0,SUM(Materialedata[[#This Row],[A1-A3/m²]:[C4/m²]]),0))
))</f>
        <v>.</v>
      </c>
      <c r="DA5" s="141" t="str">
        <f>IF(DA$2&gt;Input_Tidshorisont,BlankTegn,IF(DA$2=0,SUM(Materialedata[[#This Row],[A1-A3/m²]:[A4/m²]]),
CZ5+IF(DA$2=Input_Tidshorisont,SUM(Materialedata[[#This Row],[C3/m²]:[C4/m²]]),IF(MOD(DA$2,Materialedata[[#This Row],[Levetid]])=0,SUM(Materialedata[[#This Row],[A1-A3/m²]:[C4/m²]]),0))
))</f>
        <v>.</v>
      </c>
      <c r="DB5" s="141" t="str">
        <f>IF(DB$2&gt;Input_Tidshorisont,BlankTegn,IF(DB$2=0,SUM(Materialedata[[#This Row],[A1-A3/m²]:[A4/m²]]),
DA5+IF(DB$2=Input_Tidshorisont,SUM(Materialedata[[#This Row],[C3/m²]:[C4/m²]]),IF(MOD(DB$2,Materialedata[[#This Row],[Levetid]])=0,SUM(Materialedata[[#This Row],[A1-A3/m²]:[C4/m²]]),0))
))</f>
        <v>.</v>
      </c>
      <c r="DC5" s="141" t="str">
        <f>IF(DC$2&gt;Input_Tidshorisont,BlankTegn,IF(DC$2=0,SUM(Materialedata[[#This Row],[A1-A3/m²]:[A4/m²]]),
DB5+IF(DC$2=Input_Tidshorisont,SUM(Materialedata[[#This Row],[C3/m²]:[C4/m²]]),IF(MOD(DC$2,Materialedata[[#This Row],[Levetid]])=0,SUM(Materialedata[[#This Row],[A1-A3/m²]:[C4/m²]]),0))
))</f>
        <v>.</v>
      </c>
      <c r="DD5" s="141" t="str">
        <f>IF(DD$2&gt;Input_Tidshorisont,BlankTegn,IF(DD$2=0,SUM(Materialedata[[#This Row],[A1-A3/m²]:[A4/m²]]),
DC5+IF(DD$2=Input_Tidshorisont,SUM(Materialedata[[#This Row],[C3/m²]:[C4/m²]]),IF(MOD(DD$2,Materialedata[[#This Row],[Levetid]])=0,SUM(Materialedata[[#This Row],[A1-A3/m²]:[C4/m²]]),0))
))</f>
        <v>.</v>
      </c>
      <c r="DE5" s="141" t="str">
        <f>IF(DE$2&gt;Input_Tidshorisont,BlankTegn,IF(DE$2=0,SUM(Materialedata[[#This Row],[A1-A3/m²]:[A4/m²]]),
DD5+IF(DE$2=Input_Tidshorisont,SUM(Materialedata[[#This Row],[C3/m²]:[C4/m²]]),IF(MOD(DE$2,Materialedata[[#This Row],[Levetid]])=0,SUM(Materialedata[[#This Row],[A1-A3/m²]:[C4/m²]]),0))
))</f>
        <v>.</v>
      </c>
      <c r="DF5" s="141" t="str">
        <f>IF(DF$2&gt;Input_Tidshorisont,BlankTegn,IF(DF$2=0,SUM(Materialedata[[#This Row],[A1-A3/m²]:[A4/m²]]),
DE5+IF(DF$2=Input_Tidshorisont,SUM(Materialedata[[#This Row],[C3/m²]:[C4/m²]]),IF(MOD(DF$2,Materialedata[[#This Row],[Levetid]])=0,SUM(Materialedata[[#This Row],[A1-A3/m²]:[C4/m²]]),0))
))</f>
        <v>.</v>
      </c>
      <c r="DG5" s="141" t="str">
        <f>IF(DG$2&gt;Input_Tidshorisont,BlankTegn,IF(DG$2=0,SUM(Materialedata[[#This Row],[A1-A3/m²]:[A4/m²]]),
DF5+IF(DG$2=Input_Tidshorisont,SUM(Materialedata[[#This Row],[C3/m²]:[C4/m²]]),IF(MOD(DG$2,Materialedata[[#This Row],[Levetid]])=0,SUM(Materialedata[[#This Row],[A1-A3/m²]:[C4/m²]]),0))
))</f>
        <v>.</v>
      </c>
      <c r="DH5" s="141" t="str">
        <f>IF(DH$2&gt;Input_Tidshorisont,BlankTegn,IF(DH$2=0,SUM(Materialedata[[#This Row],[A1-A3/m²]:[A4/m²]]),
DG5+IF(DH$2=Input_Tidshorisont,SUM(Materialedata[[#This Row],[C3/m²]:[C4/m²]]),IF(MOD(DH$2,Materialedata[[#This Row],[Levetid]])=0,SUM(Materialedata[[#This Row],[A1-A3/m²]:[C4/m²]]),0))
))</f>
        <v>.</v>
      </c>
      <c r="DI5" s="141" t="str">
        <f>IF(DI$2&gt;Input_Tidshorisont,BlankTegn,IF(DI$2=0,SUM(Materialedata[[#This Row],[A1-A3/m²]:[A4/m²]]),
DH5+IF(DI$2=Input_Tidshorisont,SUM(Materialedata[[#This Row],[C3/m²]:[C4/m²]]),IF(MOD(DI$2,Materialedata[[#This Row],[Levetid]])=0,SUM(Materialedata[[#This Row],[A1-A3/m²]:[C4/m²]]),0))
))</f>
        <v>.</v>
      </c>
      <c r="DJ5" s="141" t="str">
        <f>IF(DJ$2&gt;Input_Tidshorisont,BlankTegn,IF(DJ$2=0,SUM(Materialedata[[#This Row],[A1-A3/m²]:[A4/m²]]),
DI5+IF(DJ$2=Input_Tidshorisont,SUM(Materialedata[[#This Row],[C3/m²]:[C4/m²]]),IF(MOD(DJ$2,Materialedata[[#This Row],[Levetid]])=0,SUM(Materialedata[[#This Row],[A1-A3/m²]:[C4/m²]]),0))
))</f>
        <v>.</v>
      </c>
      <c r="DK5" s="141" t="str">
        <f>IF(DK$2&gt;Input_Tidshorisont,BlankTegn,IF(DK$2=0,SUM(Materialedata[[#This Row],[A1-A3/m²]:[A4/m²]]),
DJ5+IF(DK$2=Input_Tidshorisont,SUM(Materialedata[[#This Row],[C3/m²]:[C4/m²]]),IF(MOD(DK$2,Materialedata[[#This Row],[Levetid]])=0,SUM(Materialedata[[#This Row],[A1-A3/m²]:[C4/m²]]),0))
))</f>
        <v>.</v>
      </c>
      <c r="DL5" s="141" t="str">
        <f>IF(DL$2&gt;Input_Tidshorisont,BlankTegn,IF(DL$2=0,SUM(Materialedata[[#This Row],[A1-A3/m²]:[A4/m²]]),
DK5+IF(DL$2=Input_Tidshorisont,SUM(Materialedata[[#This Row],[C3/m²]:[C4/m²]]),IF(MOD(DL$2,Materialedata[[#This Row],[Levetid]])=0,SUM(Materialedata[[#This Row],[A1-A3/m²]:[C4/m²]]),0))
))</f>
        <v>.</v>
      </c>
      <c r="DM5" s="19"/>
    </row>
    <row r="6" spans="1:117" ht="24">
      <c r="A6" s="182" t="s">
        <v>33</v>
      </c>
      <c r="B6" s="182" t="s">
        <v>135</v>
      </c>
      <c r="C6" s="148" t="s">
        <v>136</v>
      </c>
      <c r="D6" s="149" t="s">
        <v>282</v>
      </c>
      <c r="E6" s="151" t="s">
        <v>305</v>
      </c>
      <c r="F6" s="182" t="s">
        <v>134</v>
      </c>
      <c r="G6" s="182">
        <v>60</v>
      </c>
      <c r="H6" s="183">
        <v>7850</v>
      </c>
      <c r="I6" s="184">
        <v>6.25</v>
      </c>
      <c r="J6" s="184" t="s">
        <v>101</v>
      </c>
      <c r="K6" s="182">
        <f>3430/1000</f>
        <v>3.43</v>
      </c>
      <c r="L6" s="182" t="s">
        <v>209</v>
      </c>
      <c r="M6" s="185">
        <f>IF(ISBLANK(Materialedata[[#This Row],[A4-gruppe]]),BlankTegn,INDEX(Byggeproces[GWP],MATCH(Materialedata[[#This Row],[A4-gruppe]],Byggeproces[Gruppe/Undergruppe],0)))</f>
        <v>1.24E-2</v>
      </c>
      <c r="N6" s="182">
        <f>2.73/1000</f>
        <v>2.7299999999999998E-3</v>
      </c>
      <c r="O6" s="182">
        <v>0</v>
      </c>
      <c r="P6" s="182">
        <f>-0.00174/1000</f>
        <v>-1.7400000000000001E-6</v>
      </c>
      <c r="Q6" s="279">
        <f>Materialedata[[#This Row],[A1-A3/standardenhed]]*Materialedata[[#This Row],[Mængde/m²]]</f>
        <v>21.4375</v>
      </c>
      <c r="R6" s="276" cm="1">
        <f t="array" ref="R6">IFERROR(_xlfn.IFS(Materialedata[[#This Row],[Mængde-enhed]]="kg/m²",Materialedata[[#This Row],[A4/kg]]*Materialedata[[#This Row],[Mængde/m²]],Materialedata[[#This Row],[Mængde-enhed]]="m³/m²",Materialedata[[#This Row],[A4/kg]]*Materialedata[[#This Row],[Mængde/m²]]*Materialedata[[#This Row],[Densitet]]),"N/A")</f>
        <v>7.7499999999999999E-2</v>
      </c>
      <c r="S6" s="188">
        <f>Materialedata[[#This Row],[C3/enhed]]*Materialedata[[#This Row],[Mængde/m²]]</f>
        <v>1.7062499999999998E-2</v>
      </c>
      <c r="T6" s="188">
        <f>Materialedata[[#This Row],[C4/enhed]]*Materialedata[[#This Row],[Mængde/m²]]</f>
        <v>0</v>
      </c>
      <c r="U6" s="188">
        <f>Materialedata[[#This Row],[D/enhed]]*Materialedata[[#This Row],[Mængde/m²]]</f>
        <v>-1.0875E-5</v>
      </c>
      <c r="V6" s="150">
        <f>IFERROR(INDEX(Range_Materiale_Genbrug,MATCH(Materialedata[[#This Row],[Komponent]],Facadekomponenter,0)),BlankTegn)</f>
        <v>0</v>
      </c>
      <c r="W6" s="150">
        <f>IFERROR(1-Materialedata[[#This Row],[Genbrug]],BlankTegn)</f>
        <v>1</v>
      </c>
      <c r="X6" s="186">
        <f>IFERROR(Materialedata[[#This Row],[A1-A3/m²_nyt]]*Materialedata[[#This Row],[Nyt]],BlankTegn)</f>
        <v>21.4375</v>
      </c>
      <c r="Y6" s="186">
        <f>Materialedata[[#This Row],[A4/m²_nyt]]</f>
        <v>7.7499999999999999E-2</v>
      </c>
      <c r="Z6" s="186">
        <f>IFERROR(Materialedata[[#This Row],[C3/m²_nyt]]*Materialedata[[#This Row],[Nyt]],BlankTegn)</f>
        <v>1.7062499999999998E-2</v>
      </c>
      <c r="AA6" s="186">
        <f>IFERROR(Materialedata[[#This Row],[C4/m²_nyt]]*Materialedata[[#This Row],[Nyt]],BlankTegn)</f>
        <v>0</v>
      </c>
      <c r="AB6" s="186">
        <f>IFERROR(Materialedata[[#This Row],[D/m²_nyt]]*Materialedata[[#This Row],[Nyt]],BlankTegn)</f>
        <v>-1.0875E-5</v>
      </c>
      <c r="AC6" s="187">
        <v>1638.442319031775</v>
      </c>
      <c r="AD6" s="188" t="s">
        <v>29</v>
      </c>
      <c r="AE6" s="182">
        <v>1</v>
      </c>
      <c r="AF6" s="189">
        <f>Materialedata[[#This Row],[Pris/enhed]]*Materialedata[[#This Row],[Omregning]]</f>
        <v>1638.442319031775</v>
      </c>
      <c r="AG6" s="190">
        <v>0.03</v>
      </c>
      <c r="AH6" s="191">
        <v>1</v>
      </c>
      <c r="AI6" s="162">
        <v>0</v>
      </c>
      <c r="AJ6" s="141">
        <f>IF(AJ$2&gt;Input_Tidshorisont,BlankTegn,IF(AJ$2=0,SUM(Materialedata[[#This Row],[A1-A3/m²]:[A4/m²]]),
AI6+IF(AJ$2=Input_Tidshorisont,SUM(Materialedata[[#This Row],[C3/m²]:[C4/m²]]),IF(MOD(AJ$2,Materialedata[[#This Row],[Levetid]])=0,SUM(Materialedata[[#This Row],[A1-A3/m²]:[C4/m²]]),0))
))</f>
        <v>21.515000000000001</v>
      </c>
      <c r="AK6" s="141">
        <f>IF(AK$2&gt;Input_Tidshorisont,BlankTegn,IF(AK$2=0,SUM(Materialedata[[#This Row],[A1-A3/m²]:[A4/m²]]),
AJ6+IF(AK$2=Input_Tidshorisont,SUM(Materialedata[[#This Row],[C3/m²]:[C4/m²]]),IF(MOD(AK$2,Materialedata[[#This Row],[Levetid]])=0,SUM(Materialedata[[#This Row],[A1-A3/m²]:[C4/m²]]),0))
))</f>
        <v>21.515000000000001</v>
      </c>
      <c r="AL6" s="141">
        <f>IF(AL$2&gt;Input_Tidshorisont,BlankTegn,IF(AL$2=0,SUM(Materialedata[[#This Row],[A1-A3/m²]:[A4/m²]]),
AK6+IF(AL$2=Input_Tidshorisont,SUM(Materialedata[[#This Row],[C3/m²]:[C4/m²]]),IF(MOD(AL$2,Materialedata[[#This Row],[Levetid]])=0,SUM(Materialedata[[#This Row],[A1-A3/m²]:[C4/m²]]),0))
))</f>
        <v>21.515000000000001</v>
      </c>
      <c r="AM6" s="141">
        <f>IF(AM$2&gt;Input_Tidshorisont,BlankTegn,IF(AM$2=0,SUM(Materialedata[[#This Row],[A1-A3/m²]:[A4/m²]]),
AL6+IF(AM$2=Input_Tidshorisont,SUM(Materialedata[[#This Row],[C3/m²]:[C4/m²]]),IF(MOD(AM$2,Materialedata[[#This Row],[Levetid]])=0,SUM(Materialedata[[#This Row],[A1-A3/m²]:[C4/m²]]),0))
))</f>
        <v>21.515000000000001</v>
      </c>
      <c r="AN6" s="141">
        <f>IF(AN$2&gt;Input_Tidshorisont,BlankTegn,IF(AN$2=0,SUM(Materialedata[[#This Row],[A1-A3/m²]:[A4/m²]]),
AM6+IF(AN$2=Input_Tidshorisont,SUM(Materialedata[[#This Row],[C3/m²]:[C4/m²]]),IF(MOD(AN$2,Materialedata[[#This Row],[Levetid]])=0,SUM(Materialedata[[#This Row],[A1-A3/m²]:[C4/m²]]),0))
))</f>
        <v>21.515000000000001</v>
      </c>
      <c r="AO6" s="141">
        <f>IF(AO$2&gt;Input_Tidshorisont,BlankTegn,IF(AO$2=0,SUM(Materialedata[[#This Row],[A1-A3/m²]:[A4/m²]]),
AN6+IF(AO$2=Input_Tidshorisont,SUM(Materialedata[[#This Row],[C3/m²]:[C4/m²]]),IF(MOD(AO$2,Materialedata[[#This Row],[Levetid]])=0,SUM(Materialedata[[#This Row],[A1-A3/m²]:[C4/m²]]),0))
))</f>
        <v>21.515000000000001</v>
      </c>
      <c r="AP6" s="141">
        <f>IF(AP$2&gt;Input_Tidshorisont,BlankTegn,IF(AP$2=0,SUM(Materialedata[[#This Row],[A1-A3/m²]:[A4/m²]]),
AO6+IF(AP$2=Input_Tidshorisont,SUM(Materialedata[[#This Row],[C3/m²]:[C4/m²]]),IF(MOD(AP$2,Materialedata[[#This Row],[Levetid]])=0,SUM(Materialedata[[#This Row],[A1-A3/m²]:[C4/m²]]),0))
))</f>
        <v>21.515000000000001</v>
      </c>
      <c r="AQ6" s="141">
        <f>IF(AQ$2&gt;Input_Tidshorisont,BlankTegn,IF(AQ$2=0,SUM(Materialedata[[#This Row],[A1-A3/m²]:[A4/m²]]),
AP6+IF(AQ$2=Input_Tidshorisont,SUM(Materialedata[[#This Row],[C3/m²]:[C4/m²]]),IF(MOD(AQ$2,Materialedata[[#This Row],[Levetid]])=0,SUM(Materialedata[[#This Row],[A1-A3/m²]:[C4/m²]]),0))
))</f>
        <v>21.515000000000001</v>
      </c>
      <c r="AR6" s="141">
        <f>IF(AR$2&gt;Input_Tidshorisont,BlankTegn,IF(AR$2=0,SUM(Materialedata[[#This Row],[A1-A3/m²]:[A4/m²]]),
AQ6+IF(AR$2=Input_Tidshorisont,SUM(Materialedata[[#This Row],[C3/m²]:[C4/m²]]),IF(MOD(AR$2,Materialedata[[#This Row],[Levetid]])=0,SUM(Materialedata[[#This Row],[A1-A3/m²]:[C4/m²]]),0))
))</f>
        <v>21.515000000000001</v>
      </c>
      <c r="AS6" s="141">
        <f>IF(AS$2&gt;Input_Tidshorisont,BlankTegn,IF(AS$2=0,SUM(Materialedata[[#This Row],[A1-A3/m²]:[A4/m²]]),
AR6+IF(AS$2=Input_Tidshorisont,SUM(Materialedata[[#This Row],[C3/m²]:[C4/m²]]),IF(MOD(AS$2,Materialedata[[#This Row],[Levetid]])=0,SUM(Materialedata[[#This Row],[A1-A3/m²]:[C4/m²]]),0))
))</f>
        <v>21.515000000000001</v>
      </c>
      <c r="AT6" s="141">
        <f>IF(AT$2&gt;Input_Tidshorisont,BlankTegn,IF(AT$2=0,SUM(Materialedata[[#This Row],[A1-A3/m²]:[A4/m²]]),
AS6+IF(AT$2=Input_Tidshorisont,SUM(Materialedata[[#This Row],[C3/m²]:[C4/m²]]),IF(MOD(AT$2,Materialedata[[#This Row],[Levetid]])=0,SUM(Materialedata[[#This Row],[A1-A3/m²]:[C4/m²]]),0))
))</f>
        <v>21.515000000000001</v>
      </c>
      <c r="AU6" s="141">
        <f>IF(AU$2&gt;Input_Tidshorisont,BlankTegn,IF(AU$2=0,SUM(Materialedata[[#This Row],[A1-A3/m²]:[A4/m²]]),
AT6+IF(AU$2=Input_Tidshorisont,SUM(Materialedata[[#This Row],[C3/m²]:[C4/m²]]),IF(MOD(AU$2,Materialedata[[#This Row],[Levetid]])=0,SUM(Materialedata[[#This Row],[A1-A3/m²]:[C4/m²]]),0))
))</f>
        <v>21.515000000000001</v>
      </c>
      <c r="AV6" s="141">
        <f>IF(AV$2&gt;Input_Tidshorisont,BlankTegn,IF(AV$2=0,SUM(Materialedata[[#This Row],[A1-A3/m²]:[A4/m²]]),
AU6+IF(AV$2=Input_Tidshorisont,SUM(Materialedata[[#This Row],[C3/m²]:[C4/m²]]),IF(MOD(AV$2,Materialedata[[#This Row],[Levetid]])=0,SUM(Materialedata[[#This Row],[A1-A3/m²]:[C4/m²]]),0))
))</f>
        <v>21.515000000000001</v>
      </c>
      <c r="AW6" s="141">
        <f>IF(AW$2&gt;Input_Tidshorisont,BlankTegn,IF(AW$2=0,SUM(Materialedata[[#This Row],[A1-A3/m²]:[A4/m²]]),
AV6+IF(AW$2=Input_Tidshorisont,SUM(Materialedata[[#This Row],[C3/m²]:[C4/m²]]),IF(MOD(AW$2,Materialedata[[#This Row],[Levetid]])=0,SUM(Materialedata[[#This Row],[A1-A3/m²]:[C4/m²]]),0))
))</f>
        <v>21.515000000000001</v>
      </c>
      <c r="AX6" s="141">
        <f>IF(AX$2&gt;Input_Tidshorisont,BlankTegn,IF(AX$2=0,SUM(Materialedata[[#This Row],[A1-A3/m²]:[A4/m²]]),
AW6+IF(AX$2=Input_Tidshorisont,SUM(Materialedata[[#This Row],[C3/m²]:[C4/m²]]),IF(MOD(AX$2,Materialedata[[#This Row],[Levetid]])=0,SUM(Materialedata[[#This Row],[A1-A3/m²]:[C4/m²]]),0))
))</f>
        <v>21.515000000000001</v>
      </c>
      <c r="AY6" s="141">
        <f>IF(AY$2&gt;Input_Tidshorisont,BlankTegn,IF(AY$2=0,SUM(Materialedata[[#This Row],[A1-A3/m²]:[A4/m²]]),
AX6+IF(AY$2=Input_Tidshorisont,SUM(Materialedata[[#This Row],[C3/m²]:[C4/m²]]),IF(MOD(AY$2,Materialedata[[#This Row],[Levetid]])=0,SUM(Materialedata[[#This Row],[A1-A3/m²]:[C4/m²]]),0))
))</f>
        <v>21.515000000000001</v>
      </c>
      <c r="AZ6" s="141">
        <f>IF(AZ$2&gt;Input_Tidshorisont,BlankTegn,IF(AZ$2=0,SUM(Materialedata[[#This Row],[A1-A3/m²]:[A4/m²]]),
AY6+IF(AZ$2=Input_Tidshorisont,SUM(Materialedata[[#This Row],[C3/m²]:[C4/m²]]),IF(MOD(AZ$2,Materialedata[[#This Row],[Levetid]])=0,SUM(Materialedata[[#This Row],[A1-A3/m²]:[C4/m²]]),0))
))</f>
        <v>21.515000000000001</v>
      </c>
      <c r="BA6" s="141">
        <f>IF(BA$2&gt;Input_Tidshorisont,BlankTegn,IF(BA$2=0,SUM(Materialedata[[#This Row],[A1-A3/m²]:[A4/m²]]),
AZ6+IF(BA$2=Input_Tidshorisont,SUM(Materialedata[[#This Row],[C3/m²]:[C4/m²]]),IF(MOD(BA$2,Materialedata[[#This Row],[Levetid]])=0,SUM(Materialedata[[#This Row],[A1-A3/m²]:[C4/m²]]),0))
))</f>
        <v>21.515000000000001</v>
      </c>
      <c r="BB6" s="141">
        <f>IF(BB$2&gt;Input_Tidshorisont,BlankTegn,IF(BB$2=0,SUM(Materialedata[[#This Row],[A1-A3/m²]:[A4/m²]]),
BA6+IF(BB$2=Input_Tidshorisont,SUM(Materialedata[[#This Row],[C3/m²]:[C4/m²]]),IF(MOD(BB$2,Materialedata[[#This Row],[Levetid]])=0,SUM(Materialedata[[#This Row],[A1-A3/m²]:[C4/m²]]),0))
))</f>
        <v>21.515000000000001</v>
      </c>
      <c r="BC6" s="141">
        <f>IF(BC$2&gt;Input_Tidshorisont,BlankTegn,IF(BC$2=0,SUM(Materialedata[[#This Row],[A1-A3/m²]:[A4/m²]]),
BB6+IF(BC$2=Input_Tidshorisont,SUM(Materialedata[[#This Row],[C3/m²]:[C4/m²]]),IF(MOD(BC$2,Materialedata[[#This Row],[Levetid]])=0,SUM(Materialedata[[#This Row],[A1-A3/m²]:[C4/m²]]),0))
))</f>
        <v>21.515000000000001</v>
      </c>
      <c r="BD6" s="141">
        <f>IF(BD$2&gt;Input_Tidshorisont,BlankTegn,IF(BD$2=0,SUM(Materialedata[[#This Row],[A1-A3/m²]:[A4/m²]]),
BC6+IF(BD$2=Input_Tidshorisont,SUM(Materialedata[[#This Row],[C3/m²]:[C4/m²]]),IF(MOD(BD$2,Materialedata[[#This Row],[Levetid]])=0,SUM(Materialedata[[#This Row],[A1-A3/m²]:[C4/m²]]),0))
))</f>
        <v>21.515000000000001</v>
      </c>
      <c r="BE6" s="141">
        <f>IF(BE$2&gt;Input_Tidshorisont,BlankTegn,IF(BE$2=0,SUM(Materialedata[[#This Row],[A1-A3/m²]:[A4/m²]]),
BD6+IF(BE$2=Input_Tidshorisont,SUM(Materialedata[[#This Row],[C3/m²]:[C4/m²]]),IF(MOD(BE$2,Materialedata[[#This Row],[Levetid]])=0,SUM(Materialedata[[#This Row],[A1-A3/m²]:[C4/m²]]),0))
))</f>
        <v>21.515000000000001</v>
      </c>
      <c r="BF6" s="141">
        <f>IF(BF$2&gt;Input_Tidshorisont,BlankTegn,IF(BF$2=0,SUM(Materialedata[[#This Row],[A1-A3/m²]:[A4/m²]]),
BE6+IF(BF$2=Input_Tidshorisont,SUM(Materialedata[[#This Row],[C3/m²]:[C4/m²]]),IF(MOD(BF$2,Materialedata[[#This Row],[Levetid]])=0,SUM(Materialedata[[#This Row],[A1-A3/m²]:[C4/m²]]),0))
))</f>
        <v>21.515000000000001</v>
      </c>
      <c r="BG6" s="141">
        <f>IF(BG$2&gt;Input_Tidshorisont,BlankTegn,IF(BG$2=0,SUM(Materialedata[[#This Row],[A1-A3/m²]:[A4/m²]]),
BF6+IF(BG$2=Input_Tidshorisont,SUM(Materialedata[[#This Row],[C3/m²]:[C4/m²]]),IF(MOD(BG$2,Materialedata[[#This Row],[Levetid]])=0,SUM(Materialedata[[#This Row],[A1-A3/m²]:[C4/m²]]),0))
))</f>
        <v>21.515000000000001</v>
      </c>
      <c r="BH6" s="141">
        <f>IF(BH$2&gt;Input_Tidshorisont,BlankTegn,IF(BH$2=0,SUM(Materialedata[[#This Row],[A1-A3/m²]:[A4/m²]]),
BG6+IF(BH$2=Input_Tidshorisont,SUM(Materialedata[[#This Row],[C3/m²]:[C4/m²]]),IF(MOD(BH$2,Materialedata[[#This Row],[Levetid]])=0,SUM(Materialedata[[#This Row],[A1-A3/m²]:[C4/m²]]),0))
))</f>
        <v>21.515000000000001</v>
      </c>
      <c r="BI6" s="141">
        <f>IF(BI$2&gt;Input_Tidshorisont,BlankTegn,IF(BI$2=0,SUM(Materialedata[[#This Row],[A1-A3/m²]:[A4/m²]]),
BH6+IF(BI$2=Input_Tidshorisont,SUM(Materialedata[[#This Row],[C3/m²]:[C4/m²]]),IF(MOD(BI$2,Materialedata[[#This Row],[Levetid]])=0,SUM(Materialedata[[#This Row],[A1-A3/m²]:[C4/m²]]),0))
))</f>
        <v>21.515000000000001</v>
      </c>
      <c r="BJ6" s="141">
        <f>IF(BJ$2&gt;Input_Tidshorisont,BlankTegn,IF(BJ$2=0,SUM(Materialedata[[#This Row],[A1-A3/m²]:[A4/m²]]),
BI6+IF(BJ$2=Input_Tidshorisont,SUM(Materialedata[[#This Row],[C3/m²]:[C4/m²]]),IF(MOD(BJ$2,Materialedata[[#This Row],[Levetid]])=0,SUM(Materialedata[[#This Row],[A1-A3/m²]:[C4/m²]]),0))
))</f>
        <v>21.515000000000001</v>
      </c>
      <c r="BK6" s="141">
        <f>IF(BK$2&gt;Input_Tidshorisont,BlankTegn,IF(BK$2=0,SUM(Materialedata[[#This Row],[A1-A3/m²]:[A4/m²]]),
BJ6+IF(BK$2=Input_Tidshorisont,SUM(Materialedata[[#This Row],[C3/m²]:[C4/m²]]),IF(MOD(BK$2,Materialedata[[#This Row],[Levetid]])=0,SUM(Materialedata[[#This Row],[A1-A3/m²]:[C4/m²]]),0))
))</f>
        <v>21.515000000000001</v>
      </c>
      <c r="BL6" s="141">
        <f>IF(BL$2&gt;Input_Tidshorisont,BlankTegn,IF(BL$2=0,SUM(Materialedata[[#This Row],[A1-A3/m²]:[A4/m²]]),
BK6+IF(BL$2=Input_Tidshorisont,SUM(Materialedata[[#This Row],[C3/m²]:[C4/m²]]),IF(MOD(BL$2,Materialedata[[#This Row],[Levetid]])=0,SUM(Materialedata[[#This Row],[A1-A3/m²]:[C4/m²]]),0))
))</f>
        <v>21.515000000000001</v>
      </c>
      <c r="BM6" s="141">
        <f>IF(BM$2&gt;Input_Tidshorisont,BlankTegn,IF(BM$2=0,SUM(Materialedata[[#This Row],[A1-A3/m²]:[A4/m²]]),
BL6+IF(BM$2=Input_Tidshorisont,SUM(Materialedata[[#This Row],[C3/m²]:[C4/m²]]),IF(MOD(BM$2,Materialedata[[#This Row],[Levetid]])=0,SUM(Materialedata[[#This Row],[A1-A3/m²]:[C4/m²]]),0))
))</f>
        <v>21.515000000000001</v>
      </c>
      <c r="BN6" s="141">
        <f>IF(BN$2&gt;Input_Tidshorisont,BlankTegn,IF(BN$2=0,SUM(Materialedata[[#This Row],[A1-A3/m²]:[A4/m²]]),
BM6+IF(BN$2=Input_Tidshorisont,SUM(Materialedata[[#This Row],[C3/m²]:[C4/m²]]),IF(MOD(BN$2,Materialedata[[#This Row],[Levetid]])=0,SUM(Materialedata[[#This Row],[A1-A3/m²]:[C4/m²]]),0))
))</f>
        <v>21.515000000000001</v>
      </c>
      <c r="BO6" s="141">
        <f>IF(BO$2&gt;Input_Tidshorisont,BlankTegn,IF(BO$2=0,SUM(Materialedata[[#This Row],[A1-A3/m²]:[A4/m²]]),
BN6+IF(BO$2=Input_Tidshorisont,SUM(Materialedata[[#This Row],[C3/m²]:[C4/m²]]),IF(MOD(BO$2,Materialedata[[#This Row],[Levetid]])=0,SUM(Materialedata[[#This Row],[A1-A3/m²]:[C4/m²]]),0))
))</f>
        <v>21.515000000000001</v>
      </c>
      <c r="BP6" s="141">
        <f>IF(BP$2&gt;Input_Tidshorisont,BlankTegn,IF(BP$2=0,SUM(Materialedata[[#This Row],[A1-A3/m²]:[A4/m²]]),
BO6+IF(BP$2=Input_Tidshorisont,SUM(Materialedata[[#This Row],[C3/m²]:[C4/m²]]),IF(MOD(BP$2,Materialedata[[#This Row],[Levetid]])=0,SUM(Materialedata[[#This Row],[A1-A3/m²]:[C4/m²]]),0))
))</f>
        <v>21.515000000000001</v>
      </c>
      <c r="BQ6" s="141">
        <f>IF(BQ$2&gt;Input_Tidshorisont,BlankTegn,IF(BQ$2=0,SUM(Materialedata[[#This Row],[A1-A3/m²]:[A4/m²]]),
BP6+IF(BQ$2=Input_Tidshorisont,SUM(Materialedata[[#This Row],[C3/m²]:[C4/m²]]),IF(MOD(BQ$2,Materialedata[[#This Row],[Levetid]])=0,SUM(Materialedata[[#This Row],[A1-A3/m²]:[C4/m²]]),0))
))</f>
        <v>21.515000000000001</v>
      </c>
      <c r="BR6" s="141">
        <f>IF(BR$2&gt;Input_Tidshorisont,BlankTegn,IF(BR$2=0,SUM(Materialedata[[#This Row],[A1-A3/m²]:[A4/m²]]),
BQ6+IF(BR$2=Input_Tidshorisont,SUM(Materialedata[[#This Row],[C3/m²]:[C4/m²]]),IF(MOD(BR$2,Materialedata[[#This Row],[Levetid]])=0,SUM(Materialedata[[#This Row],[A1-A3/m²]:[C4/m²]]),0))
))</f>
        <v>21.515000000000001</v>
      </c>
      <c r="BS6" s="141">
        <f>IF(BS$2&gt;Input_Tidshorisont,BlankTegn,IF(BS$2=0,SUM(Materialedata[[#This Row],[A1-A3/m²]:[A4/m²]]),
BR6+IF(BS$2=Input_Tidshorisont,SUM(Materialedata[[#This Row],[C3/m²]:[C4/m²]]),IF(MOD(BS$2,Materialedata[[#This Row],[Levetid]])=0,SUM(Materialedata[[#This Row],[A1-A3/m²]:[C4/m²]]),0))
))</f>
        <v>21.515000000000001</v>
      </c>
      <c r="BT6" s="141">
        <f>IF(BT$2&gt;Input_Tidshorisont,BlankTegn,IF(BT$2=0,SUM(Materialedata[[#This Row],[A1-A3/m²]:[A4/m²]]),
BS6+IF(BT$2=Input_Tidshorisont,SUM(Materialedata[[#This Row],[C3/m²]:[C4/m²]]),IF(MOD(BT$2,Materialedata[[#This Row],[Levetid]])=0,SUM(Materialedata[[#This Row],[A1-A3/m²]:[C4/m²]]),0))
))</f>
        <v>21.515000000000001</v>
      </c>
      <c r="BU6" s="141">
        <f>IF(BU$2&gt;Input_Tidshorisont,BlankTegn,IF(BU$2=0,SUM(Materialedata[[#This Row],[A1-A3/m²]:[A4/m²]]),
BT6+IF(BU$2=Input_Tidshorisont,SUM(Materialedata[[#This Row],[C3/m²]:[C4/m²]]),IF(MOD(BU$2,Materialedata[[#This Row],[Levetid]])=0,SUM(Materialedata[[#This Row],[A1-A3/m²]:[C4/m²]]),0))
))</f>
        <v>21.515000000000001</v>
      </c>
      <c r="BV6" s="141">
        <f>IF(BV$2&gt;Input_Tidshorisont,BlankTegn,IF(BV$2=0,SUM(Materialedata[[#This Row],[A1-A3/m²]:[A4/m²]]),
BU6+IF(BV$2=Input_Tidshorisont,SUM(Materialedata[[#This Row],[C3/m²]:[C4/m²]]),IF(MOD(BV$2,Materialedata[[#This Row],[Levetid]])=0,SUM(Materialedata[[#This Row],[A1-A3/m²]:[C4/m²]]),0))
))</f>
        <v>21.515000000000001</v>
      </c>
      <c r="BW6" s="141">
        <f>IF(BW$2&gt;Input_Tidshorisont,BlankTegn,IF(BW$2=0,SUM(Materialedata[[#This Row],[A1-A3/m²]:[A4/m²]]),
BV6+IF(BW$2=Input_Tidshorisont,SUM(Materialedata[[#This Row],[C3/m²]:[C4/m²]]),IF(MOD(BW$2,Materialedata[[#This Row],[Levetid]])=0,SUM(Materialedata[[#This Row],[A1-A3/m²]:[C4/m²]]),0))
))</f>
        <v>21.515000000000001</v>
      </c>
      <c r="BX6" s="141">
        <f>IF(BX$2&gt;Input_Tidshorisont,BlankTegn,IF(BX$2=0,SUM(Materialedata[[#This Row],[A1-A3/m²]:[A4/m²]]),
BW6+IF(BX$2=Input_Tidshorisont,SUM(Materialedata[[#This Row],[C3/m²]:[C4/m²]]),IF(MOD(BX$2,Materialedata[[#This Row],[Levetid]])=0,SUM(Materialedata[[#This Row],[A1-A3/m²]:[C4/m²]]),0))
))</f>
        <v>21.515000000000001</v>
      </c>
      <c r="BY6" s="141">
        <f>IF(BY$2&gt;Input_Tidshorisont,BlankTegn,IF(BY$2=0,SUM(Materialedata[[#This Row],[A1-A3/m²]:[A4/m²]]),
BX6+IF(BY$2=Input_Tidshorisont,SUM(Materialedata[[#This Row],[C3/m²]:[C4/m²]]),IF(MOD(BY$2,Materialedata[[#This Row],[Levetid]])=0,SUM(Materialedata[[#This Row],[A1-A3/m²]:[C4/m²]]),0))
))</f>
        <v>21.515000000000001</v>
      </c>
      <c r="BZ6" s="141">
        <f>IF(BZ$2&gt;Input_Tidshorisont,BlankTegn,IF(BZ$2=0,SUM(Materialedata[[#This Row],[A1-A3/m²]:[A4/m²]]),
BY6+IF(BZ$2=Input_Tidshorisont,SUM(Materialedata[[#This Row],[C3/m²]:[C4/m²]]),IF(MOD(BZ$2,Materialedata[[#This Row],[Levetid]])=0,SUM(Materialedata[[#This Row],[A1-A3/m²]:[C4/m²]]),0))
))</f>
        <v>21.515000000000001</v>
      </c>
      <c r="CA6" s="141">
        <f>IF(CA$2&gt;Input_Tidshorisont,BlankTegn,IF(CA$2=0,SUM(Materialedata[[#This Row],[A1-A3/m²]:[A4/m²]]),
BZ6+IF(CA$2=Input_Tidshorisont,SUM(Materialedata[[#This Row],[C3/m²]:[C4/m²]]),IF(MOD(CA$2,Materialedata[[#This Row],[Levetid]])=0,SUM(Materialedata[[#This Row],[A1-A3/m²]:[C4/m²]]),0))
))</f>
        <v>21.515000000000001</v>
      </c>
      <c r="CB6" s="141">
        <f>IF(CB$2&gt;Input_Tidshorisont,BlankTegn,IF(CB$2=0,SUM(Materialedata[[#This Row],[A1-A3/m²]:[A4/m²]]),
CA6+IF(CB$2=Input_Tidshorisont,SUM(Materialedata[[#This Row],[C3/m²]:[C4/m²]]),IF(MOD(CB$2,Materialedata[[#This Row],[Levetid]])=0,SUM(Materialedata[[#This Row],[A1-A3/m²]:[C4/m²]]),0))
))</f>
        <v>21.515000000000001</v>
      </c>
      <c r="CC6" s="141">
        <f>IF(CC$2&gt;Input_Tidshorisont,BlankTegn,IF(CC$2=0,SUM(Materialedata[[#This Row],[A1-A3/m²]:[A4/m²]]),
CB6+IF(CC$2=Input_Tidshorisont,SUM(Materialedata[[#This Row],[C3/m²]:[C4/m²]]),IF(MOD(CC$2,Materialedata[[#This Row],[Levetid]])=0,SUM(Materialedata[[#This Row],[A1-A3/m²]:[C4/m²]]),0))
))</f>
        <v>21.515000000000001</v>
      </c>
      <c r="CD6" s="141">
        <f>IF(CD$2&gt;Input_Tidshorisont,BlankTegn,IF(CD$2=0,SUM(Materialedata[[#This Row],[A1-A3/m²]:[A4/m²]]),
CC6+IF(CD$2=Input_Tidshorisont,SUM(Materialedata[[#This Row],[C3/m²]:[C4/m²]]),IF(MOD(CD$2,Materialedata[[#This Row],[Levetid]])=0,SUM(Materialedata[[#This Row],[A1-A3/m²]:[C4/m²]]),0))
))</f>
        <v>21.515000000000001</v>
      </c>
      <c r="CE6" s="141">
        <f>IF(CE$2&gt;Input_Tidshorisont,BlankTegn,IF(CE$2=0,SUM(Materialedata[[#This Row],[A1-A3/m²]:[A4/m²]]),
CD6+IF(CE$2=Input_Tidshorisont,SUM(Materialedata[[#This Row],[C3/m²]:[C4/m²]]),IF(MOD(CE$2,Materialedata[[#This Row],[Levetid]])=0,SUM(Materialedata[[#This Row],[A1-A3/m²]:[C4/m²]]),0))
))</f>
        <v>21.515000000000001</v>
      </c>
      <c r="CF6" s="141">
        <f>IF(CF$2&gt;Input_Tidshorisont,BlankTegn,IF(CF$2=0,SUM(Materialedata[[#This Row],[A1-A3/m²]:[A4/m²]]),
CE6+IF(CF$2=Input_Tidshorisont,SUM(Materialedata[[#This Row],[C3/m²]:[C4/m²]]),IF(MOD(CF$2,Materialedata[[#This Row],[Levetid]])=0,SUM(Materialedata[[#This Row],[A1-A3/m²]:[C4/m²]]),0))
))</f>
        <v>21.515000000000001</v>
      </c>
      <c r="CG6" s="141">
        <f>IF(CG$2&gt;Input_Tidshorisont,BlankTegn,IF(CG$2=0,SUM(Materialedata[[#This Row],[A1-A3/m²]:[A4/m²]]),
CF6+IF(CG$2=Input_Tidshorisont,SUM(Materialedata[[#This Row],[C3/m²]:[C4/m²]]),IF(MOD(CG$2,Materialedata[[#This Row],[Levetid]])=0,SUM(Materialedata[[#This Row],[A1-A3/m²]:[C4/m²]]),0))
))</f>
        <v>21.515000000000001</v>
      </c>
      <c r="CH6" s="141">
        <f>IF(CH$2&gt;Input_Tidshorisont,BlankTegn,IF(CH$2=0,SUM(Materialedata[[#This Row],[A1-A3/m²]:[A4/m²]]),
CG6+IF(CH$2=Input_Tidshorisont,SUM(Materialedata[[#This Row],[C3/m²]:[C4/m²]]),IF(MOD(CH$2,Materialedata[[#This Row],[Levetid]])=0,SUM(Materialedata[[#This Row],[A1-A3/m²]:[C4/m²]]),0))
))</f>
        <v>21.532062500000002</v>
      </c>
      <c r="CI6" s="141" t="str">
        <f>IF(CI$2&gt;Input_Tidshorisont,BlankTegn,IF(CI$2=0,SUM(Materialedata[[#This Row],[A1-A3/m²]:[A4/m²]]),
CH6+IF(CI$2=Input_Tidshorisont,SUM(Materialedata[[#This Row],[C3/m²]:[C4/m²]]),IF(MOD(CI$2,Materialedata[[#This Row],[Levetid]])=0,SUM(Materialedata[[#This Row],[A1-A3/m²]:[C4/m²]]),0))
))</f>
        <v>.</v>
      </c>
      <c r="CJ6" s="141" t="str">
        <f>IF(CJ$2&gt;Input_Tidshorisont,BlankTegn,IF(CJ$2=0,SUM(Materialedata[[#This Row],[A1-A3/m²]:[A4/m²]]),
CI6+IF(CJ$2=Input_Tidshorisont,SUM(Materialedata[[#This Row],[C3/m²]:[C4/m²]]),IF(MOD(CJ$2,Materialedata[[#This Row],[Levetid]])=0,SUM(Materialedata[[#This Row],[A1-A3/m²]:[C4/m²]]),0))
))</f>
        <v>.</v>
      </c>
      <c r="CK6" s="141" t="str">
        <f>IF(CK$2&gt;Input_Tidshorisont,BlankTegn,IF(CK$2=0,SUM(Materialedata[[#This Row],[A1-A3/m²]:[A4/m²]]),
CJ6+IF(CK$2=Input_Tidshorisont,SUM(Materialedata[[#This Row],[C3/m²]:[C4/m²]]),IF(MOD(CK$2,Materialedata[[#This Row],[Levetid]])=0,SUM(Materialedata[[#This Row],[A1-A3/m²]:[C4/m²]]),0))
))</f>
        <v>.</v>
      </c>
      <c r="CL6" s="141" t="str">
        <f>IF(CL$2&gt;Input_Tidshorisont,BlankTegn,IF(CL$2=0,SUM(Materialedata[[#This Row],[A1-A3/m²]:[A4/m²]]),
CK6+IF(CL$2=Input_Tidshorisont,SUM(Materialedata[[#This Row],[C3/m²]:[C4/m²]]),IF(MOD(CL$2,Materialedata[[#This Row],[Levetid]])=0,SUM(Materialedata[[#This Row],[A1-A3/m²]:[C4/m²]]),0))
))</f>
        <v>.</v>
      </c>
      <c r="CM6" s="141" t="str">
        <f>IF(CM$2&gt;Input_Tidshorisont,BlankTegn,IF(CM$2=0,SUM(Materialedata[[#This Row],[A1-A3/m²]:[A4/m²]]),
CL6+IF(CM$2=Input_Tidshorisont,SUM(Materialedata[[#This Row],[C3/m²]:[C4/m²]]),IF(MOD(CM$2,Materialedata[[#This Row],[Levetid]])=0,SUM(Materialedata[[#This Row],[A1-A3/m²]:[C4/m²]]),0))
))</f>
        <v>.</v>
      </c>
      <c r="CN6" s="141" t="str">
        <f>IF(CN$2&gt;Input_Tidshorisont,BlankTegn,IF(CN$2=0,SUM(Materialedata[[#This Row],[A1-A3/m²]:[A4/m²]]),
CM6+IF(CN$2=Input_Tidshorisont,SUM(Materialedata[[#This Row],[C3/m²]:[C4/m²]]),IF(MOD(CN$2,Materialedata[[#This Row],[Levetid]])=0,SUM(Materialedata[[#This Row],[A1-A3/m²]:[C4/m²]]),0))
))</f>
        <v>.</v>
      </c>
      <c r="CO6" s="141" t="str">
        <f>IF(CO$2&gt;Input_Tidshorisont,BlankTegn,IF(CO$2=0,SUM(Materialedata[[#This Row],[A1-A3/m²]:[A4/m²]]),
CN6+IF(CO$2=Input_Tidshorisont,SUM(Materialedata[[#This Row],[C3/m²]:[C4/m²]]),IF(MOD(CO$2,Materialedata[[#This Row],[Levetid]])=0,SUM(Materialedata[[#This Row],[A1-A3/m²]:[C4/m²]]),0))
))</f>
        <v>.</v>
      </c>
      <c r="CP6" s="141" t="str">
        <f>IF(CP$2&gt;Input_Tidshorisont,BlankTegn,IF(CP$2=0,SUM(Materialedata[[#This Row],[A1-A3/m²]:[A4/m²]]),
CO6+IF(CP$2=Input_Tidshorisont,SUM(Materialedata[[#This Row],[C3/m²]:[C4/m²]]),IF(MOD(CP$2,Materialedata[[#This Row],[Levetid]])=0,SUM(Materialedata[[#This Row],[A1-A3/m²]:[C4/m²]]),0))
))</f>
        <v>.</v>
      </c>
      <c r="CQ6" s="141" t="str">
        <f>IF(CQ$2&gt;Input_Tidshorisont,BlankTegn,IF(CQ$2=0,SUM(Materialedata[[#This Row],[A1-A3/m²]:[A4/m²]]),
CP6+IF(CQ$2=Input_Tidshorisont,SUM(Materialedata[[#This Row],[C3/m²]:[C4/m²]]),IF(MOD(CQ$2,Materialedata[[#This Row],[Levetid]])=0,SUM(Materialedata[[#This Row],[A1-A3/m²]:[C4/m²]]),0))
))</f>
        <v>.</v>
      </c>
      <c r="CR6" s="141" t="str">
        <f>IF(CR$2&gt;Input_Tidshorisont,BlankTegn,IF(CR$2=0,SUM(Materialedata[[#This Row],[A1-A3/m²]:[A4/m²]]),
CQ6+IF(CR$2=Input_Tidshorisont,SUM(Materialedata[[#This Row],[C3/m²]:[C4/m²]]),IF(MOD(CR$2,Materialedata[[#This Row],[Levetid]])=0,SUM(Materialedata[[#This Row],[A1-A3/m²]:[C4/m²]]),0))
))</f>
        <v>.</v>
      </c>
      <c r="CS6" s="141" t="str">
        <f>IF(CS$2&gt;Input_Tidshorisont,BlankTegn,IF(CS$2=0,SUM(Materialedata[[#This Row],[A1-A3/m²]:[A4/m²]]),
CR6+IF(CS$2=Input_Tidshorisont,SUM(Materialedata[[#This Row],[C3/m²]:[C4/m²]]),IF(MOD(CS$2,Materialedata[[#This Row],[Levetid]])=0,SUM(Materialedata[[#This Row],[A1-A3/m²]:[C4/m²]]),0))
))</f>
        <v>.</v>
      </c>
      <c r="CT6" s="141" t="str">
        <f>IF(CT$2&gt;Input_Tidshorisont,BlankTegn,IF(CT$2=0,SUM(Materialedata[[#This Row],[A1-A3/m²]:[A4/m²]]),
CS6+IF(CT$2=Input_Tidshorisont,SUM(Materialedata[[#This Row],[C3/m²]:[C4/m²]]),IF(MOD(CT$2,Materialedata[[#This Row],[Levetid]])=0,SUM(Materialedata[[#This Row],[A1-A3/m²]:[C4/m²]]),0))
))</f>
        <v>.</v>
      </c>
      <c r="CU6" s="141" t="str">
        <f>IF(CU$2&gt;Input_Tidshorisont,BlankTegn,IF(CU$2=0,SUM(Materialedata[[#This Row],[A1-A3/m²]:[A4/m²]]),
CT6+IF(CU$2=Input_Tidshorisont,SUM(Materialedata[[#This Row],[C3/m²]:[C4/m²]]),IF(MOD(CU$2,Materialedata[[#This Row],[Levetid]])=0,SUM(Materialedata[[#This Row],[A1-A3/m²]:[C4/m²]]),0))
))</f>
        <v>.</v>
      </c>
      <c r="CV6" s="141" t="str">
        <f>IF(CV$2&gt;Input_Tidshorisont,BlankTegn,IF(CV$2=0,SUM(Materialedata[[#This Row],[A1-A3/m²]:[A4/m²]]),
CU6+IF(CV$2=Input_Tidshorisont,SUM(Materialedata[[#This Row],[C3/m²]:[C4/m²]]),IF(MOD(CV$2,Materialedata[[#This Row],[Levetid]])=0,SUM(Materialedata[[#This Row],[A1-A3/m²]:[C4/m²]]),0))
))</f>
        <v>.</v>
      </c>
      <c r="CW6" s="141" t="str">
        <f>IF(CW$2&gt;Input_Tidshorisont,BlankTegn,IF(CW$2=0,SUM(Materialedata[[#This Row],[A1-A3/m²]:[A4/m²]]),
CV6+IF(CW$2=Input_Tidshorisont,SUM(Materialedata[[#This Row],[C3/m²]:[C4/m²]]),IF(MOD(CW$2,Materialedata[[#This Row],[Levetid]])=0,SUM(Materialedata[[#This Row],[A1-A3/m²]:[C4/m²]]),0))
))</f>
        <v>.</v>
      </c>
      <c r="CX6" s="141" t="str">
        <f>IF(CX$2&gt;Input_Tidshorisont,BlankTegn,IF(CX$2=0,SUM(Materialedata[[#This Row],[A1-A3/m²]:[A4/m²]]),
CW6+IF(CX$2=Input_Tidshorisont,SUM(Materialedata[[#This Row],[C3/m²]:[C4/m²]]),IF(MOD(CX$2,Materialedata[[#This Row],[Levetid]])=0,SUM(Materialedata[[#This Row],[A1-A3/m²]:[C4/m²]]),0))
))</f>
        <v>.</v>
      </c>
      <c r="CY6" s="141" t="str">
        <f>IF(CY$2&gt;Input_Tidshorisont,BlankTegn,IF(CY$2=0,SUM(Materialedata[[#This Row],[A1-A3/m²]:[A4/m²]]),
CX6+IF(CY$2=Input_Tidshorisont,SUM(Materialedata[[#This Row],[C3/m²]:[C4/m²]]),IF(MOD(CY$2,Materialedata[[#This Row],[Levetid]])=0,SUM(Materialedata[[#This Row],[A1-A3/m²]:[C4/m²]]),0))
))</f>
        <v>.</v>
      </c>
      <c r="CZ6" s="141" t="str">
        <f>IF(CZ$2&gt;Input_Tidshorisont,BlankTegn,IF(CZ$2=0,SUM(Materialedata[[#This Row],[A1-A3/m²]:[A4/m²]]),
CY6+IF(CZ$2=Input_Tidshorisont,SUM(Materialedata[[#This Row],[C3/m²]:[C4/m²]]),IF(MOD(CZ$2,Materialedata[[#This Row],[Levetid]])=0,SUM(Materialedata[[#This Row],[A1-A3/m²]:[C4/m²]]),0))
))</f>
        <v>.</v>
      </c>
      <c r="DA6" s="141" t="str">
        <f>IF(DA$2&gt;Input_Tidshorisont,BlankTegn,IF(DA$2=0,SUM(Materialedata[[#This Row],[A1-A3/m²]:[A4/m²]]),
CZ6+IF(DA$2=Input_Tidshorisont,SUM(Materialedata[[#This Row],[C3/m²]:[C4/m²]]),IF(MOD(DA$2,Materialedata[[#This Row],[Levetid]])=0,SUM(Materialedata[[#This Row],[A1-A3/m²]:[C4/m²]]),0))
))</f>
        <v>.</v>
      </c>
      <c r="DB6" s="141" t="str">
        <f>IF(DB$2&gt;Input_Tidshorisont,BlankTegn,IF(DB$2=0,SUM(Materialedata[[#This Row],[A1-A3/m²]:[A4/m²]]),
DA6+IF(DB$2=Input_Tidshorisont,SUM(Materialedata[[#This Row],[C3/m²]:[C4/m²]]),IF(MOD(DB$2,Materialedata[[#This Row],[Levetid]])=0,SUM(Materialedata[[#This Row],[A1-A3/m²]:[C4/m²]]),0))
))</f>
        <v>.</v>
      </c>
      <c r="DC6" s="141" t="str">
        <f>IF(DC$2&gt;Input_Tidshorisont,BlankTegn,IF(DC$2=0,SUM(Materialedata[[#This Row],[A1-A3/m²]:[A4/m²]]),
DB6+IF(DC$2=Input_Tidshorisont,SUM(Materialedata[[#This Row],[C3/m²]:[C4/m²]]),IF(MOD(DC$2,Materialedata[[#This Row],[Levetid]])=0,SUM(Materialedata[[#This Row],[A1-A3/m²]:[C4/m²]]),0))
))</f>
        <v>.</v>
      </c>
      <c r="DD6" s="141" t="str">
        <f>IF(DD$2&gt;Input_Tidshorisont,BlankTegn,IF(DD$2=0,SUM(Materialedata[[#This Row],[A1-A3/m²]:[A4/m²]]),
DC6+IF(DD$2=Input_Tidshorisont,SUM(Materialedata[[#This Row],[C3/m²]:[C4/m²]]),IF(MOD(DD$2,Materialedata[[#This Row],[Levetid]])=0,SUM(Materialedata[[#This Row],[A1-A3/m²]:[C4/m²]]),0))
))</f>
        <v>.</v>
      </c>
      <c r="DE6" s="141" t="str">
        <f>IF(DE$2&gt;Input_Tidshorisont,BlankTegn,IF(DE$2=0,SUM(Materialedata[[#This Row],[A1-A3/m²]:[A4/m²]]),
DD6+IF(DE$2=Input_Tidshorisont,SUM(Materialedata[[#This Row],[C3/m²]:[C4/m²]]),IF(MOD(DE$2,Materialedata[[#This Row],[Levetid]])=0,SUM(Materialedata[[#This Row],[A1-A3/m²]:[C4/m²]]),0))
))</f>
        <v>.</v>
      </c>
      <c r="DF6" s="141" t="str">
        <f>IF(DF$2&gt;Input_Tidshorisont,BlankTegn,IF(DF$2=0,SUM(Materialedata[[#This Row],[A1-A3/m²]:[A4/m²]]),
DE6+IF(DF$2=Input_Tidshorisont,SUM(Materialedata[[#This Row],[C3/m²]:[C4/m²]]),IF(MOD(DF$2,Materialedata[[#This Row],[Levetid]])=0,SUM(Materialedata[[#This Row],[A1-A3/m²]:[C4/m²]]),0))
))</f>
        <v>.</v>
      </c>
      <c r="DG6" s="141" t="str">
        <f>IF(DG$2&gt;Input_Tidshorisont,BlankTegn,IF(DG$2=0,SUM(Materialedata[[#This Row],[A1-A3/m²]:[A4/m²]]),
DF6+IF(DG$2=Input_Tidshorisont,SUM(Materialedata[[#This Row],[C3/m²]:[C4/m²]]),IF(MOD(DG$2,Materialedata[[#This Row],[Levetid]])=0,SUM(Materialedata[[#This Row],[A1-A3/m²]:[C4/m²]]),0))
))</f>
        <v>.</v>
      </c>
      <c r="DH6" s="141" t="str">
        <f>IF(DH$2&gt;Input_Tidshorisont,BlankTegn,IF(DH$2=0,SUM(Materialedata[[#This Row],[A1-A3/m²]:[A4/m²]]),
DG6+IF(DH$2=Input_Tidshorisont,SUM(Materialedata[[#This Row],[C3/m²]:[C4/m²]]),IF(MOD(DH$2,Materialedata[[#This Row],[Levetid]])=0,SUM(Materialedata[[#This Row],[A1-A3/m²]:[C4/m²]]),0))
))</f>
        <v>.</v>
      </c>
      <c r="DI6" s="141" t="str">
        <f>IF(DI$2&gt;Input_Tidshorisont,BlankTegn,IF(DI$2=0,SUM(Materialedata[[#This Row],[A1-A3/m²]:[A4/m²]]),
DH6+IF(DI$2=Input_Tidshorisont,SUM(Materialedata[[#This Row],[C3/m²]:[C4/m²]]),IF(MOD(DI$2,Materialedata[[#This Row],[Levetid]])=0,SUM(Materialedata[[#This Row],[A1-A3/m²]:[C4/m²]]),0))
))</f>
        <v>.</v>
      </c>
      <c r="DJ6" s="141" t="str">
        <f>IF(DJ$2&gt;Input_Tidshorisont,BlankTegn,IF(DJ$2=0,SUM(Materialedata[[#This Row],[A1-A3/m²]:[A4/m²]]),
DI6+IF(DJ$2=Input_Tidshorisont,SUM(Materialedata[[#This Row],[C3/m²]:[C4/m²]]),IF(MOD(DJ$2,Materialedata[[#This Row],[Levetid]])=0,SUM(Materialedata[[#This Row],[A1-A3/m²]:[C4/m²]]),0))
))</f>
        <v>.</v>
      </c>
      <c r="DK6" s="141" t="str">
        <f>IF(DK$2&gt;Input_Tidshorisont,BlankTegn,IF(DK$2=0,SUM(Materialedata[[#This Row],[A1-A3/m²]:[A4/m²]]),
DJ6+IF(DK$2=Input_Tidshorisont,SUM(Materialedata[[#This Row],[C3/m²]:[C4/m²]]),IF(MOD(DK$2,Materialedata[[#This Row],[Levetid]])=0,SUM(Materialedata[[#This Row],[A1-A3/m²]:[C4/m²]]),0))
))</f>
        <v>.</v>
      </c>
      <c r="DL6" s="141" t="str">
        <f>IF(DL$2&gt;Input_Tidshorisont,BlankTegn,IF(DL$2=0,SUM(Materialedata[[#This Row],[A1-A3/m²]:[A4/m²]]),
DK6+IF(DL$2=Input_Tidshorisont,SUM(Materialedata[[#This Row],[C3/m²]:[C4/m²]]),IF(MOD(DL$2,Materialedata[[#This Row],[Levetid]])=0,SUM(Materialedata[[#This Row],[A1-A3/m²]:[C4/m²]]),0))
))</f>
        <v>.</v>
      </c>
      <c r="DM6" s="19"/>
    </row>
    <row r="7" spans="1:117" ht="36">
      <c r="A7" s="182" t="s">
        <v>33</v>
      </c>
      <c r="B7" s="182" t="s">
        <v>137</v>
      </c>
      <c r="C7" s="148" t="s">
        <v>138</v>
      </c>
      <c r="D7" s="149" t="s">
        <v>283</v>
      </c>
      <c r="E7" s="151" t="s">
        <v>306</v>
      </c>
      <c r="F7" s="182" t="s">
        <v>134</v>
      </c>
      <c r="G7" s="182">
        <v>80</v>
      </c>
      <c r="H7" s="183">
        <v>1600</v>
      </c>
      <c r="I7" s="184">
        <v>50</v>
      </c>
      <c r="J7" s="184" t="s">
        <v>101</v>
      </c>
      <c r="K7" s="182">
        <f>461/1000</f>
        <v>0.46100000000000002</v>
      </c>
      <c r="L7" s="182" t="s">
        <v>214</v>
      </c>
      <c r="M7" s="185">
        <f>IF(ISBLANK(Materialedata[[#This Row],[A4-gruppe]]),BlankTegn,INDEX(Byggeproces[GWP],MATCH(Materialedata[[#This Row],[A4-gruppe]],Byggeproces[Gruppe/Undergruppe],0)))</f>
        <v>4.4999999999999997E-3</v>
      </c>
      <c r="N7" s="182">
        <f>0.234/1000</f>
        <v>2.3400000000000002E-4</v>
      </c>
      <c r="O7" s="182">
        <f>0.42/1000</f>
        <v>4.1999999999999996E-4</v>
      </c>
      <c r="P7" s="182">
        <f>-0.905/1000</f>
        <v>-9.0499999999999999E-4</v>
      </c>
      <c r="Q7" s="279">
        <f>Materialedata[[#This Row],[A1-A3/standardenhed]]*Materialedata[[#This Row],[Mængde/m²]]</f>
        <v>23.05</v>
      </c>
      <c r="R7" s="276" cm="1">
        <f t="array" ref="R7">IFERROR(_xlfn.IFS(Materialedata[[#This Row],[Mængde-enhed]]="kg/m²",Materialedata[[#This Row],[A4/kg]]*Materialedata[[#This Row],[Mængde/m²]],Materialedata[[#This Row],[Mængde-enhed]]="m³/m²",Materialedata[[#This Row],[A4/kg]]*Materialedata[[#This Row],[Mængde/m²]]*Materialedata[[#This Row],[Densitet]]),"N/A")</f>
        <v>0.22499999999999998</v>
      </c>
      <c r="S7" s="188">
        <f>Materialedata[[#This Row],[C3/enhed]]*Materialedata[[#This Row],[Mængde/m²]]</f>
        <v>1.17E-2</v>
      </c>
      <c r="T7" s="188">
        <f>Materialedata[[#This Row],[C4/enhed]]*Materialedata[[#This Row],[Mængde/m²]]</f>
        <v>2.0999999999999998E-2</v>
      </c>
      <c r="U7" s="188">
        <f>Materialedata[[#This Row],[D/enhed]]*Materialedata[[#This Row],[Mængde/m²]]</f>
        <v>-4.5249999999999999E-2</v>
      </c>
      <c r="V7" s="150">
        <f>IFERROR(INDEX(Range_Materiale_Genbrug,MATCH(Materialedata[[#This Row],[Komponent]],Facadekomponenter,0)),BlankTegn)</f>
        <v>0</v>
      </c>
      <c r="W7" s="150">
        <f>IFERROR(1-Materialedata[[#This Row],[Genbrug]],BlankTegn)</f>
        <v>1</v>
      </c>
      <c r="X7" s="186">
        <f>IFERROR(Materialedata[[#This Row],[A1-A3/m²_nyt]]*Materialedata[[#This Row],[Nyt]],BlankTegn)</f>
        <v>23.05</v>
      </c>
      <c r="Y7" s="186">
        <f>Materialedata[[#This Row],[A4/m²_nyt]]</f>
        <v>0.22499999999999998</v>
      </c>
      <c r="Z7" s="186">
        <f>IFERROR(Materialedata[[#This Row],[C3/m²_nyt]]*Materialedata[[#This Row],[Nyt]],BlankTegn)</f>
        <v>1.17E-2</v>
      </c>
      <c r="AA7" s="186">
        <f>IFERROR(Materialedata[[#This Row],[C4/m²_nyt]]*Materialedata[[#This Row],[Nyt]],BlankTegn)</f>
        <v>2.0999999999999998E-2</v>
      </c>
      <c r="AB7" s="186">
        <f>IFERROR(Materialedata[[#This Row],[D/m²_nyt]]*Materialedata[[#This Row],[Nyt]],BlankTegn)</f>
        <v>-4.5249999999999999E-2</v>
      </c>
      <c r="AC7" s="187">
        <v>1597.2425230050696</v>
      </c>
      <c r="AD7" s="188" t="s">
        <v>29</v>
      </c>
      <c r="AE7" s="279">
        <f>1/3</f>
        <v>0.33333333333333331</v>
      </c>
      <c r="AF7" s="189">
        <f>Materialedata[[#This Row],[Pris/enhed]]*Materialedata[[#This Row],[Omregning]]</f>
        <v>532.41417433502318</v>
      </c>
      <c r="AG7" s="190">
        <v>0.02</v>
      </c>
      <c r="AH7" s="191">
        <v>1</v>
      </c>
      <c r="AI7" s="162">
        <v>0</v>
      </c>
      <c r="AJ7" s="141">
        <f>IF(AJ$2&gt;Input_Tidshorisont,BlankTegn,IF(AJ$2=0,SUM(Materialedata[[#This Row],[A1-A3/m²]:[A4/m²]]),
AI7+IF(AJ$2=Input_Tidshorisont,SUM(Materialedata[[#This Row],[C3/m²]:[C4/m²]]),IF(MOD(AJ$2,Materialedata[[#This Row],[Levetid]])=0,SUM(Materialedata[[#This Row],[A1-A3/m²]:[C4/m²]]),0))
))</f>
        <v>23.275000000000002</v>
      </c>
      <c r="AK7" s="141">
        <f>IF(AK$2&gt;Input_Tidshorisont,BlankTegn,IF(AK$2=0,SUM(Materialedata[[#This Row],[A1-A3/m²]:[A4/m²]]),
AJ7+IF(AK$2=Input_Tidshorisont,SUM(Materialedata[[#This Row],[C3/m²]:[C4/m²]]),IF(MOD(AK$2,Materialedata[[#This Row],[Levetid]])=0,SUM(Materialedata[[#This Row],[A1-A3/m²]:[C4/m²]]),0))
))</f>
        <v>23.275000000000002</v>
      </c>
      <c r="AL7" s="141">
        <f>IF(AL$2&gt;Input_Tidshorisont,BlankTegn,IF(AL$2=0,SUM(Materialedata[[#This Row],[A1-A3/m²]:[A4/m²]]),
AK7+IF(AL$2=Input_Tidshorisont,SUM(Materialedata[[#This Row],[C3/m²]:[C4/m²]]),IF(MOD(AL$2,Materialedata[[#This Row],[Levetid]])=0,SUM(Materialedata[[#This Row],[A1-A3/m²]:[C4/m²]]),0))
))</f>
        <v>23.275000000000002</v>
      </c>
      <c r="AM7" s="141">
        <f>IF(AM$2&gt;Input_Tidshorisont,BlankTegn,IF(AM$2=0,SUM(Materialedata[[#This Row],[A1-A3/m²]:[A4/m²]]),
AL7+IF(AM$2=Input_Tidshorisont,SUM(Materialedata[[#This Row],[C3/m²]:[C4/m²]]),IF(MOD(AM$2,Materialedata[[#This Row],[Levetid]])=0,SUM(Materialedata[[#This Row],[A1-A3/m²]:[C4/m²]]),0))
))</f>
        <v>23.275000000000002</v>
      </c>
      <c r="AN7" s="141">
        <f>IF(AN$2&gt;Input_Tidshorisont,BlankTegn,IF(AN$2=0,SUM(Materialedata[[#This Row],[A1-A3/m²]:[A4/m²]]),
AM7+IF(AN$2=Input_Tidshorisont,SUM(Materialedata[[#This Row],[C3/m²]:[C4/m²]]),IF(MOD(AN$2,Materialedata[[#This Row],[Levetid]])=0,SUM(Materialedata[[#This Row],[A1-A3/m²]:[C4/m²]]),0))
))</f>
        <v>23.275000000000002</v>
      </c>
      <c r="AO7" s="141">
        <f>IF(AO$2&gt;Input_Tidshorisont,BlankTegn,IF(AO$2=0,SUM(Materialedata[[#This Row],[A1-A3/m²]:[A4/m²]]),
AN7+IF(AO$2=Input_Tidshorisont,SUM(Materialedata[[#This Row],[C3/m²]:[C4/m²]]),IF(MOD(AO$2,Materialedata[[#This Row],[Levetid]])=0,SUM(Materialedata[[#This Row],[A1-A3/m²]:[C4/m²]]),0))
))</f>
        <v>23.275000000000002</v>
      </c>
      <c r="AP7" s="141">
        <f>IF(AP$2&gt;Input_Tidshorisont,BlankTegn,IF(AP$2=0,SUM(Materialedata[[#This Row],[A1-A3/m²]:[A4/m²]]),
AO7+IF(AP$2=Input_Tidshorisont,SUM(Materialedata[[#This Row],[C3/m²]:[C4/m²]]),IF(MOD(AP$2,Materialedata[[#This Row],[Levetid]])=0,SUM(Materialedata[[#This Row],[A1-A3/m²]:[C4/m²]]),0))
))</f>
        <v>23.275000000000002</v>
      </c>
      <c r="AQ7" s="141">
        <f>IF(AQ$2&gt;Input_Tidshorisont,BlankTegn,IF(AQ$2=0,SUM(Materialedata[[#This Row],[A1-A3/m²]:[A4/m²]]),
AP7+IF(AQ$2=Input_Tidshorisont,SUM(Materialedata[[#This Row],[C3/m²]:[C4/m²]]),IF(MOD(AQ$2,Materialedata[[#This Row],[Levetid]])=0,SUM(Materialedata[[#This Row],[A1-A3/m²]:[C4/m²]]),0))
))</f>
        <v>23.275000000000002</v>
      </c>
      <c r="AR7" s="141">
        <f>IF(AR$2&gt;Input_Tidshorisont,BlankTegn,IF(AR$2=0,SUM(Materialedata[[#This Row],[A1-A3/m²]:[A4/m²]]),
AQ7+IF(AR$2=Input_Tidshorisont,SUM(Materialedata[[#This Row],[C3/m²]:[C4/m²]]),IF(MOD(AR$2,Materialedata[[#This Row],[Levetid]])=0,SUM(Materialedata[[#This Row],[A1-A3/m²]:[C4/m²]]),0))
))</f>
        <v>23.275000000000002</v>
      </c>
      <c r="AS7" s="141">
        <f>IF(AS$2&gt;Input_Tidshorisont,BlankTegn,IF(AS$2=0,SUM(Materialedata[[#This Row],[A1-A3/m²]:[A4/m²]]),
AR7+IF(AS$2=Input_Tidshorisont,SUM(Materialedata[[#This Row],[C3/m²]:[C4/m²]]),IF(MOD(AS$2,Materialedata[[#This Row],[Levetid]])=0,SUM(Materialedata[[#This Row],[A1-A3/m²]:[C4/m²]]),0))
))</f>
        <v>23.275000000000002</v>
      </c>
      <c r="AT7" s="141">
        <f>IF(AT$2&gt;Input_Tidshorisont,BlankTegn,IF(AT$2=0,SUM(Materialedata[[#This Row],[A1-A3/m²]:[A4/m²]]),
AS7+IF(AT$2=Input_Tidshorisont,SUM(Materialedata[[#This Row],[C3/m²]:[C4/m²]]),IF(MOD(AT$2,Materialedata[[#This Row],[Levetid]])=0,SUM(Materialedata[[#This Row],[A1-A3/m²]:[C4/m²]]),0))
))</f>
        <v>23.275000000000002</v>
      </c>
      <c r="AU7" s="141">
        <f>IF(AU$2&gt;Input_Tidshorisont,BlankTegn,IF(AU$2=0,SUM(Materialedata[[#This Row],[A1-A3/m²]:[A4/m²]]),
AT7+IF(AU$2=Input_Tidshorisont,SUM(Materialedata[[#This Row],[C3/m²]:[C4/m²]]),IF(MOD(AU$2,Materialedata[[#This Row],[Levetid]])=0,SUM(Materialedata[[#This Row],[A1-A3/m²]:[C4/m²]]),0))
))</f>
        <v>23.275000000000002</v>
      </c>
      <c r="AV7" s="141">
        <f>IF(AV$2&gt;Input_Tidshorisont,BlankTegn,IF(AV$2=0,SUM(Materialedata[[#This Row],[A1-A3/m²]:[A4/m²]]),
AU7+IF(AV$2=Input_Tidshorisont,SUM(Materialedata[[#This Row],[C3/m²]:[C4/m²]]),IF(MOD(AV$2,Materialedata[[#This Row],[Levetid]])=0,SUM(Materialedata[[#This Row],[A1-A3/m²]:[C4/m²]]),0))
))</f>
        <v>23.275000000000002</v>
      </c>
      <c r="AW7" s="141">
        <f>IF(AW$2&gt;Input_Tidshorisont,BlankTegn,IF(AW$2=0,SUM(Materialedata[[#This Row],[A1-A3/m²]:[A4/m²]]),
AV7+IF(AW$2=Input_Tidshorisont,SUM(Materialedata[[#This Row],[C3/m²]:[C4/m²]]),IF(MOD(AW$2,Materialedata[[#This Row],[Levetid]])=0,SUM(Materialedata[[#This Row],[A1-A3/m²]:[C4/m²]]),0))
))</f>
        <v>23.275000000000002</v>
      </c>
      <c r="AX7" s="141">
        <f>IF(AX$2&gt;Input_Tidshorisont,BlankTegn,IF(AX$2=0,SUM(Materialedata[[#This Row],[A1-A3/m²]:[A4/m²]]),
AW7+IF(AX$2=Input_Tidshorisont,SUM(Materialedata[[#This Row],[C3/m²]:[C4/m²]]),IF(MOD(AX$2,Materialedata[[#This Row],[Levetid]])=0,SUM(Materialedata[[#This Row],[A1-A3/m²]:[C4/m²]]),0))
))</f>
        <v>23.275000000000002</v>
      </c>
      <c r="AY7" s="141">
        <f>IF(AY$2&gt;Input_Tidshorisont,BlankTegn,IF(AY$2=0,SUM(Materialedata[[#This Row],[A1-A3/m²]:[A4/m²]]),
AX7+IF(AY$2=Input_Tidshorisont,SUM(Materialedata[[#This Row],[C3/m²]:[C4/m²]]),IF(MOD(AY$2,Materialedata[[#This Row],[Levetid]])=0,SUM(Materialedata[[#This Row],[A1-A3/m²]:[C4/m²]]),0))
))</f>
        <v>23.275000000000002</v>
      </c>
      <c r="AZ7" s="141">
        <f>IF(AZ$2&gt;Input_Tidshorisont,BlankTegn,IF(AZ$2=0,SUM(Materialedata[[#This Row],[A1-A3/m²]:[A4/m²]]),
AY7+IF(AZ$2=Input_Tidshorisont,SUM(Materialedata[[#This Row],[C3/m²]:[C4/m²]]),IF(MOD(AZ$2,Materialedata[[#This Row],[Levetid]])=0,SUM(Materialedata[[#This Row],[A1-A3/m²]:[C4/m²]]),0))
))</f>
        <v>23.275000000000002</v>
      </c>
      <c r="BA7" s="141">
        <f>IF(BA$2&gt;Input_Tidshorisont,BlankTegn,IF(BA$2=0,SUM(Materialedata[[#This Row],[A1-A3/m²]:[A4/m²]]),
AZ7+IF(BA$2=Input_Tidshorisont,SUM(Materialedata[[#This Row],[C3/m²]:[C4/m²]]),IF(MOD(BA$2,Materialedata[[#This Row],[Levetid]])=0,SUM(Materialedata[[#This Row],[A1-A3/m²]:[C4/m²]]),0))
))</f>
        <v>23.275000000000002</v>
      </c>
      <c r="BB7" s="141">
        <f>IF(BB$2&gt;Input_Tidshorisont,BlankTegn,IF(BB$2=0,SUM(Materialedata[[#This Row],[A1-A3/m²]:[A4/m²]]),
BA7+IF(BB$2=Input_Tidshorisont,SUM(Materialedata[[#This Row],[C3/m²]:[C4/m²]]),IF(MOD(BB$2,Materialedata[[#This Row],[Levetid]])=0,SUM(Materialedata[[#This Row],[A1-A3/m²]:[C4/m²]]),0))
))</f>
        <v>23.275000000000002</v>
      </c>
      <c r="BC7" s="141">
        <f>IF(BC$2&gt;Input_Tidshorisont,BlankTegn,IF(BC$2=0,SUM(Materialedata[[#This Row],[A1-A3/m²]:[A4/m²]]),
BB7+IF(BC$2=Input_Tidshorisont,SUM(Materialedata[[#This Row],[C3/m²]:[C4/m²]]),IF(MOD(BC$2,Materialedata[[#This Row],[Levetid]])=0,SUM(Materialedata[[#This Row],[A1-A3/m²]:[C4/m²]]),0))
))</f>
        <v>23.275000000000002</v>
      </c>
      <c r="BD7" s="141">
        <f>IF(BD$2&gt;Input_Tidshorisont,BlankTegn,IF(BD$2=0,SUM(Materialedata[[#This Row],[A1-A3/m²]:[A4/m²]]),
BC7+IF(BD$2=Input_Tidshorisont,SUM(Materialedata[[#This Row],[C3/m²]:[C4/m²]]),IF(MOD(BD$2,Materialedata[[#This Row],[Levetid]])=0,SUM(Materialedata[[#This Row],[A1-A3/m²]:[C4/m²]]),0))
))</f>
        <v>23.275000000000002</v>
      </c>
      <c r="BE7" s="141">
        <f>IF(BE$2&gt;Input_Tidshorisont,BlankTegn,IF(BE$2=0,SUM(Materialedata[[#This Row],[A1-A3/m²]:[A4/m²]]),
BD7+IF(BE$2=Input_Tidshorisont,SUM(Materialedata[[#This Row],[C3/m²]:[C4/m²]]),IF(MOD(BE$2,Materialedata[[#This Row],[Levetid]])=0,SUM(Materialedata[[#This Row],[A1-A3/m²]:[C4/m²]]),0))
))</f>
        <v>23.275000000000002</v>
      </c>
      <c r="BF7" s="141">
        <f>IF(BF$2&gt;Input_Tidshorisont,BlankTegn,IF(BF$2=0,SUM(Materialedata[[#This Row],[A1-A3/m²]:[A4/m²]]),
BE7+IF(BF$2=Input_Tidshorisont,SUM(Materialedata[[#This Row],[C3/m²]:[C4/m²]]),IF(MOD(BF$2,Materialedata[[#This Row],[Levetid]])=0,SUM(Materialedata[[#This Row],[A1-A3/m²]:[C4/m²]]),0))
))</f>
        <v>23.275000000000002</v>
      </c>
      <c r="BG7" s="141">
        <f>IF(BG$2&gt;Input_Tidshorisont,BlankTegn,IF(BG$2=0,SUM(Materialedata[[#This Row],[A1-A3/m²]:[A4/m²]]),
BF7+IF(BG$2=Input_Tidshorisont,SUM(Materialedata[[#This Row],[C3/m²]:[C4/m²]]),IF(MOD(BG$2,Materialedata[[#This Row],[Levetid]])=0,SUM(Materialedata[[#This Row],[A1-A3/m²]:[C4/m²]]),0))
))</f>
        <v>23.275000000000002</v>
      </c>
      <c r="BH7" s="141">
        <f>IF(BH$2&gt;Input_Tidshorisont,BlankTegn,IF(BH$2=0,SUM(Materialedata[[#This Row],[A1-A3/m²]:[A4/m²]]),
BG7+IF(BH$2=Input_Tidshorisont,SUM(Materialedata[[#This Row],[C3/m²]:[C4/m²]]),IF(MOD(BH$2,Materialedata[[#This Row],[Levetid]])=0,SUM(Materialedata[[#This Row],[A1-A3/m²]:[C4/m²]]),0))
))</f>
        <v>23.275000000000002</v>
      </c>
      <c r="BI7" s="141">
        <f>IF(BI$2&gt;Input_Tidshorisont,BlankTegn,IF(BI$2=0,SUM(Materialedata[[#This Row],[A1-A3/m²]:[A4/m²]]),
BH7+IF(BI$2=Input_Tidshorisont,SUM(Materialedata[[#This Row],[C3/m²]:[C4/m²]]),IF(MOD(BI$2,Materialedata[[#This Row],[Levetid]])=0,SUM(Materialedata[[#This Row],[A1-A3/m²]:[C4/m²]]),0))
))</f>
        <v>23.275000000000002</v>
      </c>
      <c r="BJ7" s="141">
        <f>IF(BJ$2&gt;Input_Tidshorisont,BlankTegn,IF(BJ$2=0,SUM(Materialedata[[#This Row],[A1-A3/m²]:[A4/m²]]),
BI7+IF(BJ$2=Input_Tidshorisont,SUM(Materialedata[[#This Row],[C3/m²]:[C4/m²]]),IF(MOD(BJ$2,Materialedata[[#This Row],[Levetid]])=0,SUM(Materialedata[[#This Row],[A1-A3/m²]:[C4/m²]]),0))
))</f>
        <v>23.275000000000002</v>
      </c>
      <c r="BK7" s="141">
        <f>IF(BK$2&gt;Input_Tidshorisont,BlankTegn,IF(BK$2=0,SUM(Materialedata[[#This Row],[A1-A3/m²]:[A4/m²]]),
BJ7+IF(BK$2=Input_Tidshorisont,SUM(Materialedata[[#This Row],[C3/m²]:[C4/m²]]),IF(MOD(BK$2,Materialedata[[#This Row],[Levetid]])=0,SUM(Materialedata[[#This Row],[A1-A3/m²]:[C4/m²]]),0))
))</f>
        <v>23.275000000000002</v>
      </c>
      <c r="BL7" s="141">
        <f>IF(BL$2&gt;Input_Tidshorisont,BlankTegn,IF(BL$2=0,SUM(Materialedata[[#This Row],[A1-A3/m²]:[A4/m²]]),
BK7+IF(BL$2=Input_Tidshorisont,SUM(Materialedata[[#This Row],[C3/m²]:[C4/m²]]),IF(MOD(BL$2,Materialedata[[#This Row],[Levetid]])=0,SUM(Materialedata[[#This Row],[A1-A3/m²]:[C4/m²]]),0))
))</f>
        <v>23.275000000000002</v>
      </c>
      <c r="BM7" s="141">
        <f>IF(BM$2&gt;Input_Tidshorisont,BlankTegn,IF(BM$2=0,SUM(Materialedata[[#This Row],[A1-A3/m²]:[A4/m²]]),
BL7+IF(BM$2=Input_Tidshorisont,SUM(Materialedata[[#This Row],[C3/m²]:[C4/m²]]),IF(MOD(BM$2,Materialedata[[#This Row],[Levetid]])=0,SUM(Materialedata[[#This Row],[A1-A3/m²]:[C4/m²]]),0))
))</f>
        <v>23.275000000000002</v>
      </c>
      <c r="BN7" s="141">
        <f>IF(BN$2&gt;Input_Tidshorisont,BlankTegn,IF(BN$2=0,SUM(Materialedata[[#This Row],[A1-A3/m²]:[A4/m²]]),
BM7+IF(BN$2=Input_Tidshorisont,SUM(Materialedata[[#This Row],[C3/m²]:[C4/m²]]),IF(MOD(BN$2,Materialedata[[#This Row],[Levetid]])=0,SUM(Materialedata[[#This Row],[A1-A3/m²]:[C4/m²]]),0))
))</f>
        <v>23.275000000000002</v>
      </c>
      <c r="BO7" s="141">
        <f>IF(BO$2&gt;Input_Tidshorisont,BlankTegn,IF(BO$2=0,SUM(Materialedata[[#This Row],[A1-A3/m²]:[A4/m²]]),
BN7+IF(BO$2=Input_Tidshorisont,SUM(Materialedata[[#This Row],[C3/m²]:[C4/m²]]),IF(MOD(BO$2,Materialedata[[#This Row],[Levetid]])=0,SUM(Materialedata[[#This Row],[A1-A3/m²]:[C4/m²]]),0))
))</f>
        <v>23.275000000000002</v>
      </c>
      <c r="BP7" s="141">
        <f>IF(BP$2&gt;Input_Tidshorisont,BlankTegn,IF(BP$2=0,SUM(Materialedata[[#This Row],[A1-A3/m²]:[A4/m²]]),
BO7+IF(BP$2=Input_Tidshorisont,SUM(Materialedata[[#This Row],[C3/m²]:[C4/m²]]),IF(MOD(BP$2,Materialedata[[#This Row],[Levetid]])=0,SUM(Materialedata[[#This Row],[A1-A3/m²]:[C4/m²]]),0))
))</f>
        <v>23.275000000000002</v>
      </c>
      <c r="BQ7" s="141">
        <f>IF(BQ$2&gt;Input_Tidshorisont,BlankTegn,IF(BQ$2=0,SUM(Materialedata[[#This Row],[A1-A3/m²]:[A4/m²]]),
BP7+IF(BQ$2=Input_Tidshorisont,SUM(Materialedata[[#This Row],[C3/m²]:[C4/m²]]),IF(MOD(BQ$2,Materialedata[[#This Row],[Levetid]])=0,SUM(Materialedata[[#This Row],[A1-A3/m²]:[C4/m²]]),0))
))</f>
        <v>23.275000000000002</v>
      </c>
      <c r="BR7" s="141">
        <f>IF(BR$2&gt;Input_Tidshorisont,BlankTegn,IF(BR$2=0,SUM(Materialedata[[#This Row],[A1-A3/m²]:[A4/m²]]),
BQ7+IF(BR$2=Input_Tidshorisont,SUM(Materialedata[[#This Row],[C3/m²]:[C4/m²]]),IF(MOD(BR$2,Materialedata[[#This Row],[Levetid]])=0,SUM(Materialedata[[#This Row],[A1-A3/m²]:[C4/m²]]),0))
))</f>
        <v>23.275000000000002</v>
      </c>
      <c r="BS7" s="141">
        <f>IF(BS$2&gt;Input_Tidshorisont,BlankTegn,IF(BS$2=0,SUM(Materialedata[[#This Row],[A1-A3/m²]:[A4/m²]]),
BR7+IF(BS$2=Input_Tidshorisont,SUM(Materialedata[[#This Row],[C3/m²]:[C4/m²]]),IF(MOD(BS$2,Materialedata[[#This Row],[Levetid]])=0,SUM(Materialedata[[#This Row],[A1-A3/m²]:[C4/m²]]),0))
))</f>
        <v>23.275000000000002</v>
      </c>
      <c r="BT7" s="141">
        <f>IF(BT$2&gt;Input_Tidshorisont,BlankTegn,IF(BT$2=0,SUM(Materialedata[[#This Row],[A1-A3/m²]:[A4/m²]]),
BS7+IF(BT$2=Input_Tidshorisont,SUM(Materialedata[[#This Row],[C3/m²]:[C4/m²]]),IF(MOD(BT$2,Materialedata[[#This Row],[Levetid]])=0,SUM(Materialedata[[#This Row],[A1-A3/m²]:[C4/m²]]),0))
))</f>
        <v>23.275000000000002</v>
      </c>
      <c r="BU7" s="141">
        <f>IF(BU$2&gt;Input_Tidshorisont,BlankTegn,IF(BU$2=0,SUM(Materialedata[[#This Row],[A1-A3/m²]:[A4/m²]]),
BT7+IF(BU$2=Input_Tidshorisont,SUM(Materialedata[[#This Row],[C3/m²]:[C4/m²]]),IF(MOD(BU$2,Materialedata[[#This Row],[Levetid]])=0,SUM(Materialedata[[#This Row],[A1-A3/m²]:[C4/m²]]),0))
))</f>
        <v>23.275000000000002</v>
      </c>
      <c r="BV7" s="141">
        <f>IF(BV$2&gt;Input_Tidshorisont,BlankTegn,IF(BV$2=0,SUM(Materialedata[[#This Row],[A1-A3/m²]:[A4/m²]]),
BU7+IF(BV$2=Input_Tidshorisont,SUM(Materialedata[[#This Row],[C3/m²]:[C4/m²]]),IF(MOD(BV$2,Materialedata[[#This Row],[Levetid]])=0,SUM(Materialedata[[#This Row],[A1-A3/m²]:[C4/m²]]),0))
))</f>
        <v>23.275000000000002</v>
      </c>
      <c r="BW7" s="141">
        <f>IF(BW$2&gt;Input_Tidshorisont,BlankTegn,IF(BW$2=0,SUM(Materialedata[[#This Row],[A1-A3/m²]:[A4/m²]]),
BV7+IF(BW$2=Input_Tidshorisont,SUM(Materialedata[[#This Row],[C3/m²]:[C4/m²]]),IF(MOD(BW$2,Materialedata[[#This Row],[Levetid]])=0,SUM(Materialedata[[#This Row],[A1-A3/m²]:[C4/m²]]),0))
))</f>
        <v>23.275000000000002</v>
      </c>
      <c r="BX7" s="141">
        <f>IF(BX$2&gt;Input_Tidshorisont,BlankTegn,IF(BX$2=0,SUM(Materialedata[[#This Row],[A1-A3/m²]:[A4/m²]]),
BW7+IF(BX$2=Input_Tidshorisont,SUM(Materialedata[[#This Row],[C3/m²]:[C4/m²]]),IF(MOD(BX$2,Materialedata[[#This Row],[Levetid]])=0,SUM(Materialedata[[#This Row],[A1-A3/m²]:[C4/m²]]),0))
))</f>
        <v>23.275000000000002</v>
      </c>
      <c r="BY7" s="141">
        <f>IF(BY$2&gt;Input_Tidshorisont,BlankTegn,IF(BY$2=0,SUM(Materialedata[[#This Row],[A1-A3/m²]:[A4/m²]]),
BX7+IF(BY$2=Input_Tidshorisont,SUM(Materialedata[[#This Row],[C3/m²]:[C4/m²]]),IF(MOD(BY$2,Materialedata[[#This Row],[Levetid]])=0,SUM(Materialedata[[#This Row],[A1-A3/m²]:[C4/m²]]),0))
))</f>
        <v>23.275000000000002</v>
      </c>
      <c r="BZ7" s="141">
        <f>IF(BZ$2&gt;Input_Tidshorisont,BlankTegn,IF(BZ$2=0,SUM(Materialedata[[#This Row],[A1-A3/m²]:[A4/m²]]),
BY7+IF(BZ$2=Input_Tidshorisont,SUM(Materialedata[[#This Row],[C3/m²]:[C4/m²]]),IF(MOD(BZ$2,Materialedata[[#This Row],[Levetid]])=0,SUM(Materialedata[[#This Row],[A1-A3/m²]:[C4/m²]]),0))
))</f>
        <v>23.275000000000002</v>
      </c>
      <c r="CA7" s="141">
        <f>IF(CA$2&gt;Input_Tidshorisont,BlankTegn,IF(CA$2=0,SUM(Materialedata[[#This Row],[A1-A3/m²]:[A4/m²]]),
BZ7+IF(CA$2=Input_Tidshorisont,SUM(Materialedata[[#This Row],[C3/m²]:[C4/m²]]),IF(MOD(CA$2,Materialedata[[#This Row],[Levetid]])=0,SUM(Materialedata[[#This Row],[A1-A3/m²]:[C4/m²]]),0))
))</f>
        <v>23.275000000000002</v>
      </c>
      <c r="CB7" s="141">
        <f>IF(CB$2&gt;Input_Tidshorisont,BlankTegn,IF(CB$2=0,SUM(Materialedata[[#This Row],[A1-A3/m²]:[A4/m²]]),
CA7+IF(CB$2=Input_Tidshorisont,SUM(Materialedata[[#This Row],[C3/m²]:[C4/m²]]),IF(MOD(CB$2,Materialedata[[#This Row],[Levetid]])=0,SUM(Materialedata[[#This Row],[A1-A3/m²]:[C4/m²]]),0))
))</f>
        <v>23.275000000000002</v>
      </c>
      <c r="CC7" s="141">
        <f>IF(CC$2&gt;Input_Tidshorisont,BlankTegn,IF(CC$2=0,SUM(Materialedata[[#This Row],[A1-A3/m²]:[A4/m²]]),
CB7+IF(CC$2=Input_Tidshorisont,SUM(Materialedata[[#This Row],[C3/m²]:[C4/m²]]),IF(MOD(CC$2,Materialedata[[#This Row],[Levetid]])=0,SUM(Materialedata[[#This Row],[A1-A3/m²]:[C4/m²]]),0))
))</f>
        <v>23.275000000000002</v>
      </c>
      <c r="CD7" s="141">
        <f>IF(CD$2&gt;Input_Tidshorisont,BlankTegn,IF(CD$2=0,SUM(Materialedata[[#This Row],[A1-A3/m²]:[A4/m²]]),
CC7+IF(CD$2=Input_Tidshorisont,SUM(Materialedata[[#This Row],[C3/m²]:[C4/m²]]),IF(MOD(CD$2,Materialedata[[#This Row],[Levetid]])=0,SUM(Materialedata[[#This Row],[A1-A3/m²]:[C4/m²]]),0))
))</f>
        <v>23.275000000000002</v>
      </c>
      <c r="CE7" s="141">
        <f>IF(CE$2&gt;Input_Tidshorisont,BlankTegn,IF(CE$2=0,SUM(Materialedata[[#This Row],[A1-A3/m²]:[A4/m²]]),
CD7+IF(CE$2=Input_Tidshorisont,SUM(Materialedata[[#This Row],[C3/m²]:[C4/m²]]),IF(MOD(CE$2,Materialedata[[#This Row],[Levetid]])=0,SUM(Materialedata[[#This Row],[A1-A3/m²]:[C4/m²]]),0))
))</f>
        <v>23.275000000000002</v>
      </c>
      <c r="CF7" s="141">
        <f>IF(CF$2&gt;Input_Tidshorisont,BlankTegn,IF(CF$2=0,SUM(Materialedata[[#This Row],[A1-A3/m²]:[A4/m²]]),
CE7+IF(CF$2=Input_Tidshorisont,SUM(Materialedata[[#This Row],[C3/m²]:[C4/m²]]),IF(MOD(CF$2,Materialedata[[#This Row],[Levetid]])=0,SUM(Materialedata[[#This Row],[A1-A3/m²]:[C4/m²]]),0))
))</f>
        <v>23.275000000000002</v>
      </c>
      <c r="CG7" s="141">
        <f>IF(CG$2&gt;Input_Tidshorisont,BlankTegn,IF(CG$2=0,SUM(Materialedata[[#This Row],[A1-A3/m²]:[A4/m²]]),
CF7+IF(CG$2=Input_Tidshorisont,SUM(Materialedata[[#This Row],[C3/m²]:[C4/m²]]),IF(MOD(CG$2,Materialedata[[#This Row],[Levetid]])=0,SUM(Materialedata[[#This Row],[A1-A3/m²]:[C4/m²]]),0))
))</f>
        <v>23.275000000000002</v>
      </c>
      <c r="CH7" s="141">
        <f>IF(CH$2&gt;Input_Tidshorisont,BlankTegn,IF(CH$2=0,SUM(Materialedata[[#This Row],[A1-A3/m²]:[A4/m²]]),
CG7+IF(CH$2=Input_Tidshorisont,SUM(Materialedata[[#This Row],[C3/m²]:[C4/m²]]),IF(MOD(CH$2,Materialedata[[#This Row],[Levetid]])=0,SUM(Materialedata[[#This Row],[A1-A3/m²]:[C4/m²]]),0))
))</f>
        <v>23.307700000000001</v>
      </c>
      <c r="CI7" s="141" t="str">
        <f>IF(CI$2&gt;Input_Tidshorisont,BlankTegn,IF(CI$2=0,SUM(Materialedata[[#This Row],[A1-A3/m²]:[A4/m²]]),
CH7+IF(CI$2=Input_Tidshorisont,SUM(Materialedata[[#This Row],[C3/m²]:[C4/m²]]),IF(MOD(CI$2,Materialedata[[#This Row],[Levetid]])=0,SUM(Materialedata[[#This Row],[A1-A3/m²]:[C4/m²]]),0))
))</f>
        <v>.</v>
      </c>
      <c r="CJ7" s="141" t="str">
        <f>IF(CJ$2&gt;Input_Tidshorisont,BlankTegn,IF(CJ$2=0,SUM(Materialedata[[#This Row],[A1-A3/m²]:[A4/m²]]),
CI7+IF(CJ$2=Input_Tidshorisont,SUM(Materialedata[[#This Row],[C3/m²]:[C4/m²]]),IF(MOD(CJ$2,Materialedata[[#This Row],[Levetid]])=0,SUM(Materialedata[[#This Row],[A1-A3/m²]:[C4/m²]]),0))
))</f>
        <v>.</v>
      </c>
      <c r="CK7" s="141" t="str">
        <f>IF(CK$2&gt;Input_Tidshorisont,BlankTegn,IF(CK$2=0,SUM(Materialedata[[#This Row],[A1-A3/m²]:[A4/m²]]),
CJ7+IF(CK$2=Input_Tidshorisont,SUM(Materialedata[[#This Row],[C3/m²]:[C4/m²]]),IF(MOD(CK$2,Materialedata[[#This Row],[Levetid]])=0,SUM(Materialedata[[#This Row],[A1-A3/m²]:[C4/m²]]),0))
))</f>
        <v>.</v>
      </c>
      <c r="CL7" s="141" t="str">
        <f>IF(CL$2&gt;Input_Tidshorisont,BlankTegn,IF(CL$2=0,SUM(Materialedata[[#This Row],[A1-A3/m²]:[A4/m²]]),
CK7+IF(CL$2=Input_Tidshorisont,SUM(Materialedata[[#This Row],[C3/m²]:[C4/m²]]),IF(MOD(CL$2,Materialedata[[#This Row],[Levetid]])=0,SUM(Materialedata[[#This Row],[A1-A3/m²]:[C4/m²]]),0))
))</f>
        <v>.</v>
      </c>
      <c r="CM7" s="141" t="str">
        <f>IF(CM$2&gt;Input_Tidshorisont,BlankTegn,IF(CM$2=0,SUM(Materialedata[[#This Row],[A1-A3/m²]:[A4/m²]]),
CL7+IF(CM$2=Input_Tidshorisont,SUM(Materialedata[[#This Row],[C3/m²]:[C4/m²]]),IF(MOD(CM$2,Materialedata[[#This Row],[Levetid]])=0,SUM(Materialedata[[#This Row],[A1-A3/m²]:[C4/m²]]),0))
))</f>
        <v>.</v>
      </c>
      <c r="CN7" s="141" t="str">
        <f>IF(CN$2&gt;Input_Tidshorisont,BlankTegn,IF(CN$2=0,SUM(Materialedata[[#This Row],[A1-A3/m²]:[A4/m²]]),
CM7+IF(CN$2=Input_Tidshorisont,SUM(Materialedata[[#This Row],[C3/m²]:[C4/m²]]),IF(MOD(CN$2,Materialedata[[#This Row],[Levetid]])=0,SUM(Materialedata[[#This Row],[A1-A3/m²]:[C4/m²]]),0))
))</f>
        <v>.</v>
      </c>
      <c r="CO7" s="141" t="str">
        <f>IF(CO$2&gt;Input_Tidshorisont,BlankTegn,IF(CO$2=0,SUM(Materialedata[[#This Row],[A1-A3/m²]:[A4/m²]]),
CN7+IF(CO$2=Input_Tidshorisont,SUM(Materialedata[[#This Row],[C3/m²]:[C4/m²]]),IF(MOD(CO$2,Materialedata[[#This Row],[Levetid]])=0,SUM(Materialedata[[#This Row],[A1-A3/m²]:[C4/m²]]),0))
))</f>
        <v>.</v>
      </c>
      <c r="CP7" s="141" t="str">
        <f>IF(CP$2&gt;Input_Tidshorisont,BlankTegn,IF(CP$2=0,SUM(Materialedata[[#This Row],[A1-A3/m²]:[A4/m²]]),
CO7+IF(CP$2=Input_Tidshorisont,SUM(Materialedata[[#This Row],[C3/m²]:[C4/m²]]),IF(MOD(CP$2,Materialedata[[#This Row],[Levetid]])=0,SUM(Materialedata[[#This Row],[A1-A3/m²]:[C4/m²]]),0))
))</f>
        <v>.</v>
      </c>
      <c r="CQ7" s="141" t="str">
        <f>IF(CQ$2&gt;Input_Tidshorisont,BlankTegn,IF(CQ$2=0,SUM(Materialedata[[#This Row],[A1-A3/m²]:[A4/m²]]),
CP7+IF(CQ$2=Input_Tidshorisont,SUM(Materialedata[[#This Row],[C3/m²]:[C4/m²]]),IF(MOD(CQ$2,Materialedata[[#This Row],[Levetid]])=0,SUM(Materialedata[[#This Row],[A1-A3/m²]:[C4/m²]]),0))
))</f>
        <v>.</v>
      </c>
      <c r="CR7" s="141" t="str">
        <f>IF(CR$2&gt;Input_Tidshorisont,BlankTegn,IF(CR$2=0,SUM(Materialedata[[#This Row],[A1-A3/m²]:[A4/m²]]),
CQ7+IF(CR$2=Input_Tidshorisont,SUM(Materialedata[[#This Row],[C3/m²]:[C4/m²]]),IF(MOD(CR$2,Materialedata[[#This Row],[Levetid]])=0,SUM(Materialedata[[#This Row],[A1-A3/m²]:[C4/m²]]),0))
))</f>
        <v>.</v>
      </c>
      <c r="CS7" s="141" t="str">
        <f>IF(CS$2&gt;Input_Tidshorisont,BlankTegn,IF(CS$2=0,SUM(Materialedata[[#This Row],[A1-A3/m²]:[A4/m²]]),
CR7+IF(CS$2=Input_Tidshorisont,SUM(Materialedata[[#This Row],[C3/m²]:[C4/m²]]),IF(MOD(CS$2,Materialedata[[#This Row],[Levetid]])=0,SUM(Materialedata[[#This Row],[A1-A3/m²]:[C4/m²]]),0))
))</f>
        <v>.</v>
      </c>
      <c r="CT7" s="141" t="str">
        <f>IF(CT$2&gt;Input_Tidshorisont,BlankTegn,IF(CT$2=0,SUM(Materialedata[[#This Row],[A1-A3/m²]:[A4/m²]]),
CS7+IF(CT$2=Input_Tidshorisont,SUM(Materialedata[[#This Row],[C3/m²]:[C4/m²]]),IF(MOD(CT$2,Materialedata[[#This Row],[Levetid]])=0,SUM(Materialedata[[#This Row],[A1-A3/m²]:[C4/m²]]),0))
))</f>
        <v>.</v>
      </c>
      <c r="CU7" s="141" t="str">
        <f>IF(CU$2&gt;Input_Tidshorisont,BlankTegn,IF(CU$2=0,SUM(Materialedata[[#This Row],[A1-A3/m²]:[A4/m²]]),
CT7+IF(CU$2=Input_Tidshorisont,SUM(Materialedata[[#This Row],[C3/m²]:[C4/m²]]),IF(MOD(CU$2,Materialedata[[#This Row],[Levetid]])=0,SUM(Materialedata[[#This Row],[A1-A3/m²]:[C4/m²]]),0))
))</f>
        <v>.</v>
      </c>
      <c r="CV7" s="141" t="str">
        <f>IF(CV$2&gt;Input_Tidshorisont,BlankTegn,IF(CV$2=0,SUM(Materialedata[[#This Row],[A1-A3/m²]:[A4/m²]]),
CU7+IF(CV$2=Input_Tidshorisont,SUM(Materialedata[[#This Row],[C3/m²]:[C4/m²]]),IF(MOD(CV$2,Materialedata[[#This Row],[Levetid]])=0,SUM(Materialedata[[#This Row],[A1-A3/m²]:[C4/m²]]),0))
))</f>
        <v>.</v>
      </c>
      <c r="CW7" s="141" t="str">
        <f>IF(CW$2&gt;Input_Tidshorisont,BlankTegn,IF(CW$2=0,SUM(Materialedata[[#This Row],[A1-A3/m²]:[A4/m²]]),
CV7+IF(CW$2=Input_Tidshorisont,SUM(Materialedata[[#This Row],[C3/m²]:[C4/m²]]),IF(MOD(CW$2,Materialedata[[#This Row],[Levetid]])=0,SUM(Materialedata[[#This Row],[A1-A3/m²]:[C4/m²]]),0))
))</f>
        <v>.</v>
      </c>
      <c r="CX7" s="141" t="str">
        <f>IF(CX$2&gt;Input_Tidshorisont,BlankTegn,IF(CX$2=0,SUM(Materialedata[[#This Row],[A1-A3/m²]:[A4/m²]]),
CW7+IF(CX$2=Input_Tidshorisont,SUM(Materialedata[[#This Row],[C3/m²]:[C4/m²]]),IF(MOD(CX$2,Materialedata[[#This Row],[Levetid]])=0,SUM(Materialedata[[#This Row],[A1-A3/m²]:[C4/m²]]),0))
))</f>
        <v>.</v>
      </c>
      <c r="CY7" s="141" t="str">
        <f>IF(CY$2&gt;Input_Tidshorisont,BlankTegn,IF(CY$2=0,SUM(Materialedata[[#This Row],[A1-A3/m²]:[A4/m²]]),
CX7+IF(CY$2=Input_Tidshorisont,SUM(Materialedata[[#This Row],[C3/m²]:[C4/m²]]),IF(MOD(CY$2,Materialedata[[#This Row],[Levetid]])=0,SUM(Materialedata[[#This Row],[A1-A3/m²]:[C4/m²]]),0))
))</f>
        <v>.</v>
      </c>
      <c r="CZ7" s="141" t="str">
        <f>IF(CZ$2&gt;Input_Tidshorisont,BlankTegn,IF(CZ$2=0,SUM(Materialedata[[#This Row],[A1-A3/m²]:[A4/m²]]),
CY7+IF(CZ$2=Input_Tidshorisont,SUM(Materialedata[[#This Row],[C3/m²]:[C4/m²]]),IF(MOD(CZ$2,Materialedata[[#This Row],[Levetid]])=0,SUM(Materialedata[[#This Row],[A1-A3/m²]:[C4/m²]]),0))
))</f>
        <v>.</v>
      </c>
      <c r="DA7" s="141" t="str">
        <f>IF(DA$2&gt;Input_Tidshorisont,BlankTegn,IF(DA$2=0,SUM(Materialedata[[#This Row],[A1-A3/m²]:[A4/m²]]),
CZ7+IF(DA$2=Input_Tidshorisont,SUM(Materialedata[[#This Row],[C3/m²]:[C4/m²]]),IF(MOD(DA$2,Materialedata[[#This Row],[Levetid]])=0,SUM(Materialedata[[#This Row],[A1-A3/m²]:[C4/m²]]),0))
))</f>
        <v>.</v>
      </c>
      <c r="DB7" s="141" t="str">
        <f>IF(DB$2&gt;Input_Tidshorisont,BlankTegn,IF(DB$2=0,SUM(Materialedata[[#This Row],[A1-A3/m²]:[A4/m²]]),
DA7+IF(DB$2=Input_Tidshorisont,SUM(Materialedata[[#This Row],[C3/m²]:[C4/m²]]),IF(MOD(DB$2,Materialedata[[#This Row],[Levetid]])=0,SUM(Materialedata[[#This Row],[A1-A3/m²]:[C4/m²]]),0))
))</f>
        <v>.</v>
      </c>
      <c r="DC7" s="141" t="str">
        <f>IF(DC$2&gt;Input_Tidshorisont,BlankTegn,IF(DC$2=0,SUM(Materialedata[[#This Row],[A1-A3/m²]:[A4/m²]]),
DB7+IF(DC$2=Input_Tidshorisont,SUM(Materialedata[[#This Row],[C3/m²]:[C4/m²]]),IF(MOD(DC$2,Materialedata[[#This Row],[Levetid]])=0,SUM(Materialedata[[#This Row],[A1-A3/m²]:[C4/m²]]),0))
))</f>
        <v>.</v>
      </c>
      <c r="DD7" s="141" t="str">
        <f>IF(DD$2&gt;Input_Tidshorisont,BlankTegn,IF(DD$2=0,SUM(Materialedata[[#This Row],[A1-A3/m²]:[A4/m²]]),
DC7+IF(DD$2=Input_Tidshorisont,SUM(Materialedata[[#This Row],[C3/m²]:[C4/m²]]),IF(MOD(DD$2,Materialedata[[#This Row],[Levetid]])=0,SUM(Materialedata[[#This Row],[A1-A3/m²]:[C4/m²]]),0))
))</f>
        <v>.</v>
      </c>
      <c r="DE7" s="141" t="str">
        <f>IF(DE$2&gt;Input_Tidshorisont,BlankTegn,IF(DE$2=0,SUM(Materialedata[[#This Row],[A1-A3/m²]:[A4/m²]]),
DD7+IF(DE$2=Input_Tidshorisont,SUM(Materialedata[[#This Row],[C3/m²]:[C4/m²]]),IF(MOD(DE$2,Materialedata[[#This Row],[Levetid]])=0,SUM(Materialedata[[#This Row],[A1-A3/m²]:[C4/m²]]),0))
))</f>
        <v>.</v>
      </c>
      <c r="DF7" s="141" t="str">
        <f>IF(DF$2&gt;Input_Tidshorisont,BlankTegn,IF(DF$2=0,SUM(Materialedata[[#This Row],[A1-A3/m²]:[A4/m²]]),
DE7+IF(DF$2=Input_Tidshorisont,SUM(Materialedata[[#This Row],[C3/m²]:[C4/m²]]),IF(MOD(DF$2,Materialedata[[#This Row],[Levetid]])=0,SUM(Materialedata[[#This Row],[A1-A3/m²]:[C4/m²]]),0))
))</f>
        <v>.</v>
      </c>
      <c r="DG7" s="141" t="str">
        <f>IF(DG$2&gt;Input_Tidshorisont,BlankTegn,IF(DG$2=0,SUM(Materialedata[[#This Row],[A1-A3/m²]:[A4/m²]]),
DF7+IF(DG$2=Input_Tidshorisont,SUM(Materialedata[[#This Row],[C3/m²]:[C4/m²]]),IF(MOD(DG$2,Materialedata[[#This Row],[Levetid]])=0,SUM(Materialedata[[#This Row],[A1-A3/m²]:[C4/m²]]),0))
))</f>
        <v>.</v>
      </c>
      <c r="DH7" s="141" t="str">
        <f>IF(DH$2&gt;Input_Tidshorisont,BlankTegn,IF(DH$2=0,SUM(Materialedata[[#This Row],[A1-A3/m²]:[A4/m²]]),
DG7+IF(DH$2=Input_Tidshorisont,SUM(Materialedata[[#This Row],[C3/m²]:[C4/m²]]),IF(MOD(DH$2,Materialedata[[#This Row],[Levetid]])=0,SUM(Materialedata[[#This Row],[A1-A3/m²]:[C4/m²]]),0))
))</f>
        <v>.</v>
      </c>
      <c r="DI7" s="141" t="str">
        <f>IF(DI$2&gt;Input_Tidshorisont,BlankTegn,IF(DI$2=0,SUM(Materialedata[[#This Row],[A1-A3/m²]:[A4/m²]]),
DH7+IF(DI$2=Input_Tidshorisont,SUM(Materialedata[[#This Row],[C3/m²]:[C4/m²]]),IF(MOD(DI$2,Materialedata[[#This Row],[Levetid]])=0,SUM(Materialedata[[#This Row],[A1-A3/m²]:[C4/m²]]),0))
))</f>
        <v>.</v>
      </c>
      <c r="DJ7" s="141" t="str">
        <f>IF(DJ$2&gt;Input_Tidshorisont,BlankTegn,IF(DJ$2=0,SUM(Materialedata[[#This Row],[A1-A3/m²]:[A4/m²]]),
DI7+IF(DJ$2=Input_Tidshorisont,SUM(Materialedata[[#This Row],[C3/m²]:[C4/m²]]),IF(MOD(DJ$2,Materialedata[[#This Row],[Levetid]])=0,SUM(Materialedata[[#This Row],[A1-A3/m²]:[C4/m²]]),0))
))</f>
        <v>.</v>
      </c>
      <c r="DK7" s="141" t="str">
        <f>IF(DK$2&gt;Input_Tidshorisont,BlankTegn,IF(DK$2=0,SUM(Materialedata[[#This Row],[A1-A3/m²]:[A4/m²]]),
DJ7+IF(DK$2=Input_Tidshorisont,SUM(Materialedata[[#This Row],[C3/m²]:[C4/m²]]),IF(MOD(DK$2,Materialedata[[#This Row],[Levetid]])=0,SUM(Materialedata[[#This Row],[A1-A3/m²]:[C4/m²]]),0))
))</f>
        <v>.</v>
      </c>
      <c r="DL7" s="141" t="str">
        <f>IF(DL$2&gt;Input_Tidshorisont,BlankTegn,IF(DL$2=0,SUM(Materialedata[[#This Row],[A1-A3/m²]:[A4/m²]]),
DK7+IF(DL$2=Input_Tidshorisont,SUM(Materialedata[[#This Row],[C3/m²]:[C4/m²]]),IF(MOD(DL$2,Materialedata[[#This Row],[Levetid]])=0,SUM(Materialedata[[#This Row],[A1-A3/m²]:[C4/m²]]),0))
))</f>
        <v>.</v>
      </c>
      <c r="DM7" s="19"/>
    </row>
    <row r="8" spans="1:117" ht="24">
      <c r="A8" s="182" t="s">
        <v>33</v>
      </c>
      <c r="B8" s="182" t="s">
        <v>43</v>
      </c>
      <c r="C8" s="148" t="s">
        <v>139</v>
      </c>
      <c r="D8" s="149" t="s">
        <v>267</v>
      </c>
      <c r="E8" s="180" t="s">
        <v>313</v>
      </c>
      <c r="F8" s="182" t="s">
        <v>140</v>
      </c>
      <c r="G8" s="182">
        <v>50</v>
      </c>
      <c r="H8" s="183">
        <v>420</v>
      </c>
      <c r="I8" s="192">
        <f>4.32/H8</f>
        <v>1.0285714285714287E-2</v>
      </c>
      <c r="J8" s="184" t="s">
        <v>232</v>
      </c>
      <c r="K8" s="182">
        <v>-441</v>
      </c>
      <c r="L8" s="182" t="s">
        <v>207</v>
      </c>
      <c r="M8" s="185">
        <f>IF(ISBLANK(Materialedata[[#This Row],[A4-gruppe]]),BlankTegn,INDEX(Byggeproces[GWP],MATCH(Materialedata[[#This Row],[A4-gruppe]],Byggeproces[Gruppe/Undergruppe],0)))</f>
        <v>4.9099999999999998E-2</v>
      </c>
      <c r="N8" s="182">
        <v>770</v>
      </c>
      <c r="O8" s="182">
        <v>0</v>
      </c>
      <c r="P8" s="182">
        <f>-412*0.5+-807*0.5</f>
        <v>-609.5</v>
      </c>
      <c r="Q8" s="279">
        <f>Materialedata[[#This Row],[A1-A3/standardenhed]]*Materialedata[[#This Row],[Mængde/m²]]</f>
        <v>-4.5360000000000005</v>
      </c>
      <c r="R8" s="276" cm="1">
        <f t="array" ref="R8">IFERROR(_xlfn.IFS(Materialedata[[#This Row],[Mængde-enhed]]="kg/m²",Materialedata[[#This Row],[A4/kg]]*Materialedata[[#This Row],[Mængde/m²]],Materialedata[[#This Row],[Mængde-enhed]]="m³/m²",Materialedata[[#This Row],[A4/kg]]*Materialedata[[#This Row],[Mængde/m²]]*Materialedata[[#This Row],[Densitet]]),"N/A")</f>
        <v>0.21211200000000002</v>
      </c>
      <c r="S8" s="188">
        <f>Materialedata[[#This Row],[C3/enhed]]*Materialedata[[#This Row],[Mængde/m²]]</f>
        <v>7.9200000000000008</v>
      </c>
      <c r="T8" s="188">
        <f>Materialedata[[#This Row],[C4/enhed]]*Materialedata[[#This Row],[Mængde/m²]]</f>
        <v>0</v>
      </c>
      <c r="U8" s="188">
        <f>Materialedata[[#This Row],[D/enhed]]*Materialedata[[#This Row],[Mængde/m²]]</f>
        <v>-6.2691428571428576</v>
      </c>
      <c r="V8" s="150">
        <f>IFERROR(INDEX(Range_Materiale_Genbrug,MATCH(Materialedata[[#This Row],[Komponent]],Facadekomponenter,0)),BlankTegn)</f>
        <v>0</v>
      </c>
      <c r="W8" s="150">
        <f>IFERROR(1-Materialedata[[#This Row],[Genbrug]],BlankTegn)</f>
        <v>1</v>
      </c>
      <c r="X8" s="186">
        <f>IFERROR(Materialedata[[#This Row],[A1-A3/m²_nyt]]*Materialedata[[#This Row],[Nyt]],BlankTegn)</f>
        <v>-4.5360000000000005</v>
      </c>
      <c r="Y8" s="186">
        <f>Materialedata[[#This Row],[A4/m²_nyt]]</f>
        <v>0.21211200000000002</v>
      </c>
      <c r="Z8" s="186">
        <f>IFERROR(Materialedata[[#This Row],[C3/m²_nyt]]*Materialedata[[#This Row],[Nyt]],BlankTegn)</f>
        <v>7.9200000000000008</v>
      </c>
      <c r="AA8" s="186">
        <f>IFERROR(Materialedata[[#This Row],[C4/m²_nyt]]*Materialedata[[#This Row],[Nyt]],BlankTegn)</f>
        <v>0</v>
      </c>
      <c r="AB8" s="186">
        <f>IFERROR(Materialedata[[#This Row],[D/m²_nyt]]*Materialedata[[#This Row],[Nyt]],BlankTegn)</f>
        <v>-6.2691428571428576</v>
      </c>
      <c r="AC8" s="187">
        <v>868.75548966314523</v>
      </c>
      <c r="AD8" s="188" t="s">
        <v>29</v>
      </c>
      <c r="AE8" s="182">
        <v>1</v>
      </c>
      <c r="AF8" s="189">
        <f>Materialedata[[#This Row],[Pris/enhed]]*Materialedata[[#This Row],[Omregning]]</f>
        <v>868.75548966314523</v>
      </c>
      <c r="AG8" s="190">
        <v>0.02</v>
      </c>
      <c r="AH8" s="191">
        <v>1</v>
      </c>
      <c r="AI8" s="162">
        <v>0</v>
      </c>
      <c r="AJ8" s="141">
        <f>IF(AJ$2&gt;Input_Tidshorisont,BlankTegn,IF(AJ$2=0,SUM(Materialedata[[#This Row],[A1-A3/m²]:[A4/m²]]),
AI8+IF(AJ$2=Input_Tidshorisont,SUM(Materialedata[[#This Row],[C3/m²]:[C4/m²]]),IF(MOD(AJ$2,Materialedata[[#This Row],[Levetid]])=0,SUM(Materialedata[[#This Row],[A1-A3/m²]:[C4/m²]]),0))
))</f>
        <v>-4.3238880000000002</v>
      </c>
      <c r="AK8" s="141">
        <f>IF(AK$2&gt;Input_Tidshorisont,BlankTegn,IF(AK$2=0,SUM(Materialedata[[#This Row],[A1-A3/m²]:[A4/m²]]),
AJ8+IF(AK$2=Input_Tidshorisont,SUM(Materialedata[[#This Row],[C3/m²]:[C4/m²]]),IF(MOD(AK$2,Materialedata[[#This Row],[Levetid]])=0,SUM(Materialedata[[#This Row],[A1-A3/m²]:[C4/m²]]),0))
))</f>
        <v>-4.3238880000000002</v>
      </c>
      <c r="AL8" s="141">
        <f>IF(AL$2&gt;Input_Tidshorisont,BlankTegn,IF(AL$2=0,SUM(Materialedata[[#This Row],[A1-A3/m²]:[A4/m²]]),
AK8+IF(AL$2=Input_Tidshorisont,SUM(Materialedata[[#This Row],[C3/m²]:[C4/m²]]),IF(MOD(AL$2,Materialedata[[#This Row],[Levetid]])=0,SUM(Materialedata[[#This Row],[A1-A3/m²]:[C4/m²]]),0))
))</f>
        <v>-4.3238880000000002</v>
      </c>
      <c r="AM8" s="141">
        <f>IF(AM$2&gt;Input_Tidshorisont,BlankTegn,IF(AM$2=0,SUM(Materialedata[[#This Row],[A1-A3/m²]:[A4/m²]]),
AL8+IF(AM$2=Input_Tidshorisont,SUM(Materialedata[[#This Row],[C3/m²]:[C4/m²]]),IF(MOD(AM$2,Materialedata[[#This Row],[Levetid]])=0,SUM(Materialedata[[#This Row],[A1-A3/m²]:[C4/m²]]),0))
))</f>
        <v>-4.3238880000000002</v>
      </c>
      <c r="AN8" s="141">
        <f>IF(AN$2&gt;Input_Tidshorisont,BlankTegn,IF(AN$2=0,SUM(Materialedata[[#This Row],[A1-A3/m²]:[A4/m²]]),
AM8+IF(AN$2=Input_Tidshorisont,SUM(Materialedata[[#This Row],[C3/m²]:[C4/m²]]),IF(MOD(AN$2,Materialedata[[#This Row],[Levetid]])=0,SUM(Materialedata[[#This Row],[A1-A3/m²]:[C4/m²]]),0))
))</f>
        <v>-4.3238880000000002</v>
      </c>
      <c r="AO8" s="141">
        <f>IF(AO$2&gt;Input_Tidshorisont,BlankTegn,IF(AO$2=0,SUM(Materialedata[[#This Row],[A1-A3/m²]:[A4/m²]]),
AN8+IF(AO$2=Input_Tidshorisont,SUM(Materialedata[[#This Row],[C3/m²]:[C4/m²]]),IF(MOD(AO$2,Materialedata[[#This Row],[Levetid]])=0,SUM(Materialedata[[#This Row],[A1-A3/m²]:[C4/m²]]),0))
))</f>
        <v>-4.3238880000000002</v>
      </c>
      <c r="AP8" s="141">
        <f>IF(AP$2&gt;Input_Tidshorisont,BlankTegn,IF(AP$2=0,SUM(Materialedata[[#This Row],[A1-A3/m²]:[A4/m²]]),
AO8+IF(AP$2=Input_Tidshorisont,SUM(Materialedata[[#This Row],[C3/m²]:[C4/m²]]),IF(MOD(AP$2,Materialedata[[#This Row],[Levetid]])=0,SUM(Materialedata[[#This Row],[A1-A3/m²]:[C4/m²]]),0))
))</f>
        <v>-4.3238880000000002</v>
      </c>
      <c r="AQ8" s="141">
        <f>IF(AQ$2&gt;Input_Tidshorisont,BlankTegn,IF(AQ$2=0,SUM(Materialedata[[#This Row],[A1-A3/m²]:[A4/m²]]),
AP8+IF(AQ$2=Input_Tidshorisont,SUM(Materialedata[[#This Row],[C3/m²]:[C4/m²]]),IF(MOD(AQ$2,Materialedata[[#This Row],[Levetid]])=0,SUM(Materialedata[[#This Row],[A1-A3/m²]:[C4/m²]]),0))
))</f>
        <v>-4.3238880000000002</v>
      </c>
      <c r="AR8" s="141">
        <f>IF(AR$2&gt;Input_Tidshorisont,BlankTegn,IF(AR$2=0,SUM(Materialedata[[#This Row],[A1-A3/m²]:[A4/m²]]),
AQ8+IF(AR$2=Input_Tidshorisont,SUM(Materialedata[[#This Row],[C3/m²]:[C4/m²]]),IF(MOD(AR$2,Materialedata[[#This Row],[Levetid]])=0,SUM(Materialedata[[#This Row],[A1-A3/m²]:[C4/m²]]),0))
))</f>
        <v>-4.3238880000000002</v>
      </c>
      <c r="AS8" s="141">
        <f>IF(AS$2&gt;Input_Tidshorisont,BlankTegn,IF(AS$2=0,SUM(Materialedata[[#This Row],[A1-A3/m²]:[A4/m²]]),
AR8+IF(AS$2=Input_Tidshorisont,SUM(Materialedata[[#This Row],[C3/m²]:[C4/m²]]),IF(MOD(AS$2,Materialedata[[#This Row],[Levetid]])=0,SUM(Materialedata[[#This Row],[A1-A3/m²]:[C4/m²]]),0))
))</f>
        <v>-4.3238880000000002</v>
      </c>
      <c r="AT8" s="141">
        <f>IF(AT$2&gt;Input_Tidshorisont,BlankTegn,IF(AT$2=0,SUM(Materialedata[[#This Row],[A1-A3/m²]:[A4/m²]]),
AS8+IF(AT$2=Input_Tidshorisont,SUM(Materialedata[[#This Row],[C3/m²]:[C4/m²]]),IF(MOD(AT$2,Materialedata[[#This Row],[Levetid]])=0,SUM(Materialedata[[#This Row],[A1-A3/m²]:[C4/m²]]),0))
))</f>
        <v>-4.3238880000000002</v>
      </c>
      <c r="AU8" s="141">
        <f>IF(AU$2&gt;Input_Tidshorisont,BlankTegn,IF(AU$2=0,SUM(Materialedata[[#This Row],[A1-A3/m²]:[A4/m²]]),
AT8+IF(AU$2=Input_Tidshorisont,SUM(Materialedata[[#This Row],[C3/m²]:[C4/m²]]),IF(MOD(AU$2,Materialedata[[#This Row],[Levetid]])=0,SUM(Materialedata[[#This Row],[A1-A3/m²]:[C4/m²]]),0))
))</f>
        <v>-4.3238880000000002</v>
      </c>
      <c r="AV8" s="141">
        <f>IF(AV$2&gt;Input_Tidshorisont,BlankTegn,IF(AV$2=0,SUM(Materialedata[[#This Row],[A1-A3/m²]:[A4/m²]]),
AU8+IF(AV$2=Input_Tidshorisont,SUM(Materialedata[[#This Row],[C3/m²]:[C4/m²]]),IF(MOD(AV$2,Materialedata[[#This Row],[Levetid]])=0,SUM(Materialedata[[#This Row],[A1-A3/m²]:[C4/m²]]),0))
))</f>
        <v>-4.3238880000000002</v>
      </c>
      <c r="AW8" s="141">
        <f>IF(AW$2&gt;Input_Tidshorisont,BlankTegn,IF(AW$2=0,SUM(Materialedata[[#This Row],[A1-A3/m²]:[A4/m²]]),
AV8+IF(AW$2=Input_Tidshorisont,SUM(Materialedata[[#This Row],[C3/m²]:[C4/m²]]),IF(MOD(AW$2,Materialedata[[#This Row],[Levetid]])=0,SUM(Materialedata[[#This Row],[A1-A3/m²]:[C4/m²]]),0))
))</f>
        <v>-4.3238880000000002</v>
      </c>
      <c r="AX8" s="141">
        <f>IF(AX$2&gt;Input_Tidshorisont,BlankTegn,IF(AX$2=0,SUM(Materialedata[[#This Row],[A1-A3/m²]:[A4/m²]]),
AW8+IF(AX$2=Input_Tidshorisont,SUM(Materialedata[[#This Row],[C3/m²]:[C4/m²]]),IF(MOD(AX$2,Materialedata[[#This Row],[Levetid]])=0,SUM(Materialedata[[#This Row],[A1-A3/m²]:[C4/m²]]),0))
))</f>
        <v>-4.3238880000000002</v>
      </c>
      <c r="AY8" s="141">
        <f>IF(AY$2&gt;Input_Tidshorisont,BlankTegn,IF(AY$2=0,SUM(Materialedata[[#This Row],[A1-A3/m²]:[A4/m²]]),
AX8+IF(AY$2=Input_Tidshorisont,SUM(Materialedata[[#This Row],[C3/m²]:[C4/m²]]),IF(MOD(AY$2,Materialedata[[#This Row],[Levetid]])=0,SUM(Materialedata[[#This Row],[A1-A3/m²]:[C4/m²]]),0))
))</f>
        <v>-4.3238880000000002</v>
      </c>
      <c r="AZ8" s="141">
        <f>IF(AZ$2&gt;Input_Tidshorisont,BlankTegn,IF(AZ$2=0,SUM(Materialedata[[#This Row],[A1-A3/m²]:[A4/m²]]),
AY8+IF(AZ$2=Input_Tidshorisont,SUM(Materialedata[[#This Row],[C3/m²]:[C4/m²]]),IF(MOD(AZ$2,Materialedata[[#This Row],[Levetid]])=0,SUM(Materialedata[[#This Row],[A1-A3/m²]:[C4/m²]]),0))
))</f>
        <v>-4.3238880000000002</v>
      </c>
      <c r="BA8" s="141">
        <f>IF(BA$2&gt;Input_Tidshorisont,BlankTegn,IF(BA$2=0,SUM(Materialedata[[#This Row],[A1-A3/m²]:[A4/m²]]),
AZ8+IF(BA$2=Input_Tidshorisont,SUM(Materialedata[[#This Row],[C3/m²]:[C4/m²]]),IF(MOD(BA$2,Materialedata[[#This Row],[Levetid]])=0,SUM(Materialedata[[#This Row],[A1-A3/m²]:[C4/m²]]),0))
))</f>
        <v>-4.3238880000000002</v>
      </c>
      <c r="BB8" s="141">
        <f>IF(BB$2&gt;Input_Tidshorisont,BlankTegn,IF(BB$2=0,SUM(Materialedata[[#This Row],[A1-A3/m²]:[A4/m²]]),
BA8+IF(BB$2=Input_Tidshorisont,SUM(Materialedata[[#This Row],[C3/m²]:[C4/m²]]),IF(MOD(BB$2,Materialedata[[#This Row],[Levetid]])=0,SUM(Materialedata[[#This Row],[A1-A3/m²]:[C4/m²]]),0))
))</f>
        <v>-4.3238880000000002</v>
      </c>
      <c r="BC8" s="141">
        <f>IF(BC$2&gt;Input_Tidshorisont,BlankTegn,IF(BC$2=0,SUM(Materialedata[[#This Row],[A1-A3/m²]:[A4/m²]]),
BB8+IF(BC$2=Input_Tidshorisont,SUM(Materialedata[[#This Row],[C3/m²]:[C4/m²]]),IF(MOD(BC$2,Materialedata[[#This Row],[Levetid]])=0,SUM(Materialedata[[#This Row],[A1-A3/m²]:[C4/m²]]),0))
))</f>
        <v>-4.3238880000000002</v>
      </c>
      <c r="BD8" s="141">
        <f>IF(BD$2&gt;Input_Tidshorisont,BlankTegn,IF(BD$2=0,SUM(Materialedata[[#This Row],[A1-A3/m²]:[A4/m²]]),
BC8+IF(BD$2=Input_Tidshorisont,SUM(Materialedata[[#This Row],[C3/m²]:[C4/m²]]),IF(MOD(BD$2,Materialedata[[#This Row],[Levetid]])=0,SUM(Materialedata[[#This Row],[A1-A3/m²]:[C4/m²]]),0))
))</f>
        <v>-4.3238880000000002</v>
      </c>
      <c r="BE8" s="141">
        <f>IF(BE$2&gt;Input_Tidshorisont,BlankTegn,IF(BE$2=0,SUM(Materialedata[[#This Row],[A1-A3/m²]:[A4/m²]]),
BD8+IF(BE$2=Input_Tidshorisont,SUM(Materialedata[[#This Row],[C3/m²]:[C4/m²]]),IF(MOD(BE$2,Materialedata[[#This Row],[Levetid]])=0,SUM(Materialedata[[#This Row],[A1-A3/m²]:[C4/m²]]),0))
))</f>
        <v>-4.3238880000000002</v>
      </c>
      <c r="BF8" s="141">
        <f>IF(BF$2&gt;Input_Tidshorisont,BlankTegn,IF(BF$2=0,SUM(Materialedata[[#This Row],[A1-A3/m²]:[A4/m²]]),
BE8+IF(BF$2=Input_Tidshorisont,SUM(Materialedata[[#This Row],[C3/m²]:[C4/m²]]),IF(MOD(BF$2,Materialedata[[#This Row],[Levetid]])=0,SUM(Materialedata[[#This Row],[A1-A3/m²]:[C4/m²]]),0))
))</f>
        <v>-4.3238880000000002</v>
      </c>
      <c r="BG8" s="141">
        <f>IF(BG$2&gt;Input_Tidshorisont,BlankTegn,IF(BG$2=0,SUM(Materialedata[[#This Row],[A1-A3/m²]:[A4/m²]]),
BF8+IF(BG$2=Input_Tidshorisont,SUM(Materialedata[[#This Row],[C3/m²]:[C4/m²]]),IF(MOD(BG$2,Materialedata[[#This Row],[Levetid]])=0,SUM(Materialedata[[#This Row],[A1-A3/m²]:[C4/m²]]),0))
))</f>
        <v>-4.3238880000000002</v>
      </c>
      <c r="BH8" s="141">
        <f>IF(BH$2&gt;Input_Tidshorisont,BlankTegn,IF(BH$2=0,SUM(Materialedata[[#This Row],[A1-A3/m²]:[A4/m²]]),
BG8+IF(BH$2=Input_Tidshorisont,SUM(Materialedata[[#This Row],[C3/m²]:[C4/m²]]),IF(MOD(BH$2,Materialedata[[#This Row],[Levetid]])=0,SUM(Materialedata[[#This Row],[A1-A3/m²]:[C4/m²]]),0))
))</f>
        <v>-4.3238880000000002</v>
      </c>
      <c r="BI8" s="141">
        <f>IF(BI$2&gt;Input_Tidshorisont,BlankTegn,IF(BI$2=0,SUM(Materialedata[[#This Row],[A1-A3/m²]:[A4/m²]]),
BH8+IF(BI$2=Input_Tidshorisont,SUM(Materialedata[[#This Row],[C3/m²]:[C4/m²]]),IF(MOD(BI$2,Materialedata[[#This Row],[Levetid]])=0,SUM(Materialedata[[#This Row],[A1-A3/m²]:[C4/m²]]),0))
))</f>
        <v>-4.3238880000000002</v>
      </c>
      <c r="BJ8" s="141">
        <f>IF(BJ$2&gt;Input_Tidshorisont,BlankTegn,IF(BJ$2=0,SUM(Materialedata[[#This Row],[A1-A3/m²]:[A4/m²]]),
BI8+IF(BJ$2=Input_Tidshorisont,SUM(Materialedata[[#This Row],[C3/m²]:[C4/m²]]),IF(MOD(BJ$2,Materialedata[[#This Row],[Levetid]])=0,SUM(Materialedata[[#This Row],[A1-A3/m²]:[C4/m²]]),0))
))</f>
        <v>-4.3238880000000002</v>
      </c>
      <c r="BK8" s="141">
        <f>IF(BK$2&gt;Input_Tidshorisont,BlankTegn,IF(BK$2=0,SUM(Materialedata[[#This Row],[A1-A3/m²]:[A4/m²]]),
BJ8+IF(BK$2=Input_Tidshorisont,SUM(Materialedata[[#This Row],[C3/m²]:[C4/m²]]),IF(MOD(BK$2,Materialedata[[#This Row],[Levetid]])=0,SUM(Materialedata[[#This Row],[A1-A3/m²]:[C4/m²]]),0))
))</f>
        <v>-4.3238880000000002</v>
      </c>
      <c r="BL8" s="141">
        <f>IF(BL$2&gt;Input_Tidshorisont,BlankTegn,IF(BL$2=0,SUM(Materialedata[[#This Row],[A1-A3/m²]:[A4/m²]]),
BK8+IF(BL$2=Input_Tidshorisont,SUM(Materialedata[[#This Row],[C3/m²]:[C4/m²]]),IF(MOD(BL$2,Materialedata[[#This Row],[Levetid]])=0,SUM(Materialedata[[#This Row],[A1-A3/m²]:[C4/m²]]),0))
))</f>
        <v>-4.3238880000000002</v>
      </c>
      <c r="BM8" s="141">
        <f>IF(BM$2&gt;Input_Tidshorisont,BlankTegn,IF(BM$2=0,SUM(Materialedata[[#This Row],[A1-A3/m²]:[A4/m²]]),
BL8+IF(BM$2=Input_Tidshorisont,SUM(Materialedata[[#This Row],[C3/m²]:[C4/m²]]),IF(MOD(BM$2,Materialedata[[#This Row],[Levetid]])=0,SUM(Materialedata[[#This Row],[A1-A3/m²]:[C4/m²]]),0))
))</f>
        <v>-4.3238880000000002</v>
      </c>
      <c r="BN8" s="141">
        <f>IF(BN$2&gt;Input_Tidshorisont,BlankTegn,IF(BN$2=0,SUM(Materialedata[[#This Row],[A1-A3/m²]:[A4/m²]]),
BM8+IF(BN$2=Input_Tidshorisont,SUM(Materialedata[[#This Row],[C3/m²]:[C4/m²]]),IF(MOD(BN$2,Materialedata[[#This Row],[Levetid]])=0,SUM(Materialedata[[#This Row],[A1-A3/m²]:[C4/m²]]),0))
))</f>
        <v>-4.3238880000000002</v>
      </c>
      <c r="BO8" s="141">
        <f>IF(BO$2&gt;Input_Tidshorisont,BlankTegn,IF(BO$2=0,SUM(Materialedata[[#This Row],[A1-A3/m²]:[A4/m²]]),
BN8+IF(BO$2=Input_Tidshorisont,SUM(Materialedata[[#This Row],[C3/m²]:[C4/m²]]),IF(MOD(BO$2,Materialedata[[#This Row],[Levetid]])=0,SUM(Materialedata[[#This Row],[A1-A3/m²]:[C4/m²]]),0))
))</f>
        <v>-4.3238880000000002</v>
      </c>
      <c r="BP8" s="141">
        <f>IF(BP$2&gt;Input_Tidshorisont,BlankTegn,IF(BP$2=0,SUM(Materialedata[[#This Row],[A1-A3/m²]:[A4/m²]]),
BO8+IF(BP$2=Input_Tidshorisont,SUM(Materialedata[[#This Row],[C3/m²]:[C4/m²]]),IF(MOD(BP$2,Materialedata[[#This Row],[Levetid]])=0,SUM(Materialedata[[#This Row],[A1-A3/m²]:[C4/m²]]),0))
))</f>
        <v>-4.3238880000000002</v>
      </c>
      <c r="BQ8" s="141">
        <f>IF(BQ$2&gt;Input_Tidshorisont,BlankTegn,IF(BQ$2=0,SUM(Materialedata[[#This Row],[A1-A3/m²]:[A4/m²]]),
BP8+IF(BQ$2=Input_Tidshorisont,SUM(Materialedata[[#This Row],[C3/m²]:[C4/m²]]),IF(MOD(BQ$2,Materialedata[[#This Row],[Levetid]])=0,SUM(Materialedata[[#This Row],[A1-A3/m²]:[C4/m²]]),0))
))</f>
        <v>-4.3238880000000002</v>
      </c>
      <c r="BR8" s="141">
        <f>IF(BR$2&gt;Input_Tidshorisont,BlankTegn,IF(BR$2=0,SUM(Materialedata[[#This Row],[A1-A3/m²]:[A4/m²]]),
BQ8+IF(BR$2=Input_Tidshorisont,SUM(Materialedata[[#This Row],[C3/m²]:[C4/m²]]),IF(MOD(BR$2,Materialedata[[#This Row],[Levetid]])=0,SUM(Materialedata[[#This Row],[A1-A3/m²]:[C4/m²]]),0))
))</f>
        <v>-4.3238880000000002</v>
      </c>
      <c r="BS8" s="141">
        <f>IF(BS$2&gt;Input_Tidshorisont,BlankTegn,IF(BS$2=0,SUM(Materialedata[[#This Row],[A1-A3/m²]:[A4/m²]]),
BR8+IF(BS$2=Input_Tidshorisont,SUM(Materialedata[[#This Row],[C3/m²]:[C4/m²]]),IF(MOD(BS$2,Materialedata[[#This Row],[Levetid]])=0,SUM(Materialedata[[#This Row],[A1-A3/m²]:[C4/m²]]),0))
))</f>
        <v>-4.3238880000000002</v>
      </c>
      <c r="BT8" s="141">
        <f>IF(BT$2&gt;Input_Tidshorisont,BlankTegn,IF(BT$2=0,SUM(Materialedata[[#This Row],[A1-A3/m²]:[A4/m²]]),
BS8+IF(BT$2=Input_Tidshorisont,SUM(Materialedata[[#This Row],[C3/m²]:[C4/m²]]),IF(MOD(BT$2,Materialedata[[#This Row],[Levetid]])=0,SUM(Materialedata[[#This Row],[A1-A3/m²]:[C4/m²]]),0))
))</f>
        <v>-4.3238880000000002</v>
      </c>
      <c r="BU8" s="141">
        <f>IF(BU$2&gt;Input_Tidshorisont,BlankTegn,IF(BU$2=0,SUM(Materialedata[[#This Row],[A1-A3/m²]:[A4/m²]]),
BT8+IF(BU$2=Input_Tidshorisont,SUM(Materialedata[[#This Row],[C3/m²]:[C4/m²]]),IF(MOD(BU$2,Materialedata[[#This Row],[Levetid]])=0,SUM(Materialedata[[#This Row],[A1-A3/m²]:[C4/m²]]),0))
))</f>
        <v>-4.3238880000000002</v>
      </c>
      <c r="BV8" s="141">
        <f>IF(BV$2&gt;Input_Tidshorisont,BlankTegn,IF(BV$2=0,SUM(Materialedata[[#This Row],[A1-A3/m²]:[A4/m²]]),
BU8+IF(BV$2=Input_Tidshorisont,SUM(Materialedata[[#This Row],[C3/m²]:[C4/m²]]),IF(MOD(BV$2,Materialedata[[#This Row],[Levetid]])=0,SUM(Materialedata[[#This Row],[A1-A3/m²]:[C4/m²]]),0))
))</f>
        <v>-4.3238880000000002</v>
      </c>
      <c r="BW8" s="141">
        <f>IF(BW$2&gt;Input_Tidshorisont,BlankTegn,IF(BW$2=0,SUM(Materialedata[[#This Row],[A1-A3/m²]:[A4/m²]]),
BV8+IF(BW$2=Input_Tidshorisont,SUM(Materialedata[[#This Row],[C3/m²]:[C4/m²]]),IF(MOD(BW$2,Materialedata[[#This Row],[Levetid]])=0,SUM(Materialedata[[#This Row],[A1-A3/m²]:[C4/m²]]),0))
))</f>
        <v>-4.3238880000000002</v>
      </c>
      <c r="BX8" s="141">
        <f>IF(BX$2&gt;Input_Tidshorisont,BlankTegn,IF(BX$2=0,SUM(Materialedata[[#This Row],[A1-A3/m²]:[A4/m²]]),
BW8+IF(BX$2=Input_Tidshorisont,SUM(Materialedata[[#This Row],[C3/m²]:[C4/m²]]),IF(MOD(BX$2,Materialedata[[#This Row],[Levetid]])=0,SUM(Materialedata[[#This Row],[A1-A3/m²]:[C4/m²]]),0))
))</f>
        <v>-4.3238880000000002</v>
      </c>
      <c r="BY8" s="141">
        <f>IF(BY$2&gt;Input_Tidshorisont,BlankTegn,IF(BY$2=0,SUM(Materialedata[[#This Row],[A1-A3/m²]:[A4/m²]]),
BX8+IF(BY$2=Input_Tidshorisont,SUM(Materialedata[[#This Row],[C3/m²]:[C4/m²]]),IF(MOD(BY$2,Materialedata[[#This Row],[Levetid]])=0,SUM(Materialedata[[#This Row],[A1-A3/m²]:[C4/m²]]),0))
))</f>
        <v>-4.3238880000000002</v>
      </c>
      <c r="BZ8" s="141">
        <f>IF(BZ$2&gt;Input_Tidshorisont,BlankTegn,IF(BZ$2=0,SUM(Materialedata[[#This Row],[A1-A3/m²]:[A4/m²]]),
BY8+IF(BZ$2=Input_Tidshorisont,SUM(Materialedata[[#This Row],[C3/m²]:[C4/m²]]),IF(MOD(BZ$2,Materialedata[[#This Row],[Levetid]])=0,SUM(Materialedata[[#This Row],[A1-A3/m²]:[C4/m²]]),0))
))</f>
        <v>-4.3238880000000002</v>
      </c>
      <c r="CA8" s="141">
        <f>IF(CA$2&gt;Input_Tidshorisont,BlankTegn,IF(CA$2=0,SUM(Materialedata[[#This Row],[A1-A3/m²]:[A4/m²]]),
BZ8+IF(CA$2=Input_Tidshorisont,SUM(Materialedata[[#This Row],[C3/m²]:[C4/m²]]),IF(MOD(CA$2,Materialedata[[#This Row],[Levetid]])=0,SUM(Materialedata[[#This Row],[A1-A3/m²]:[C4/m²]]),0))
))</f>
        <v>-4.3238880000000002</v>
      </c>
      <c r="CB8" s="141">
        <f>IF(CB$2&gt;Input_Tidshorisont,BlankTegn,IF(CB$2=0,SUM(Materialedata[[#This Row],[A1-A3/m²]:[A4/m²]]),
CA8+IF(CB$2=Input_Tidshorisont,SUM(Materialedata[[#This Row],[C3/m²]:[C4/m²]]),IF(MOD(CB$2,Materialedata[[#This Row],[Levetid]])=0,SUM(Materialedata[[#This Row],[A1-A3/m²]:[C4/m²]]),0))
))</f>
        <v>-4.3238880000000002</v>
      </c>
      <c r="CC8" s="141">
        <f>IF(CC$2&gt;Input_Tidshorisont,BlankTegn,IF(CC$2=0,SUM(Materialedata[[#This Row],[A1-A3/m²]:[A4/m²]]),
CB8+IF(CC$2=Input_Tidshorisont,SUM(Materialedata[[#This Row],[C3/m²]:[C4/m²]]),IF(MOD(CC$2,Materialedata[[#This Row],[Levetid]])=0,SUM(Materialedata[[#This Row],[A1-A3/m²]:[C4/m²]]),0))
))</f>
        <v>-4.3238880000000002</v>
      </c>
      <c r="CD8" s="141">
        <f>IF(CD$2&gt;Input_Tidshorisont,BlankTegn,IF(CD$2=0,SUM(Materialedata[[#This Row],[A1-A3/m²]:[A4/m²]]),
CC8+IF(CD$2=Input_Tidshorisont,SUM(Materialedata[[#This Row],[C3/m²]:[C4/m²]]),IF(MOD(CD$2,Materialedata[[#This Row],[Levetid]])=0,SUM(Materialedata[[#This Row],[A1-A3/m²]:[C4/m²]]),0))
))</f>
        <v>-4.3238880000000002</v>
      </c>
      <c r="CE8" s="141">
        <f>IF(CE$2&gt;Input_Tidshorisont,BlankTegn,IF(CE$2=0,SUM(Materialedata[[#This Row],[A1-A3/m²]:[A4/m²]]),
CD8+IF(CE$2=Input_Tidshorisont,SUM(Materialedata[[#This Row],[C3/m²]:[C4/m²]]),IF(MOD(CE$2,Materialedata[[#This Row],[Levetid]])=0,SUM(Materialedata[[#This Row],[A1-A3/m²]:[C4/m²]]),0))
))</f>
        <v>-4.3238880000000002</v>
      </c>
      <c r="CF8" s="141">
        <f>IF(CF$2&gt;Input_Tidshorisont,BlankTegn,IF(CF$2=0,SUM(Materialedata[[#This Row],[A1-A3/m²]:[A4/m²]]),
CE8+IF(CF$2=Input_Tidshorisont,SUM(Materialedata[[#This Row],[C3/m²]:[C4/m²]]),IF(MOD(CF$2,Materialedata[[#This Row],[Levetid]])=0,SUM(Materialedata[[#This Row],[A1-A3/m²]:[C4/m²]]),0))
))</f>
        <v>-4.3238880000000002</v>
      </c>
      <c r="CG8" s="141">
        <f>IF(CG$2&gt;Input_Tidshorisont,BlankTegn,IF(CG$2=0,SUM(Materialedata[[#This Row],[A1-A3/m²]:[A4/m²]]),
CF8+IF(CG$2=Input_Tidshorisont,SUM(Materialedata[[#This Row],[C3/m²]:[C4/m²]]),IF(MOD(CG$2,Materialedata[[#This Row],[Levetid]])=0,SUM(Materialedata[[#This Row],[A1-A3/m²]:[C4/m²]]),0))
))</f>
        <v>-4.3238880000000002</v>
      </c>
      <c r="CH8" s="141">
        <f>IF(CH$2&gt;Input_Tidshorisont,BlankTegn,IF(CH$2=0,SUM(Materialedata[[#This Row],[A1-A3/m²]:[A4/m²]]),
CG8+IF(CH$2=Input_Tidshorisont,SUM(Materialedata[[#This Row],[C3/m²]:[C4/m²]]),IF(MOD(CH$2,Materialedata[[#This Row],[Levetid]])=0,SUM(Materialedata[[#This Row],[A1-A3/m²]:[C4/m²]]),0))
))</f>
        <v>3.5961120000000006</v>
      </c>
      <c r="CI8" s="141" t="str">
        <f>IF(CI$2&gt;Input_Tidshorisont,BlankTegn,IF(CI$2=0,SUM(Materialedata[[#This Row],[A1-A3/m²]:[A4/m²]]),
CH8+IF(CI$2=Input_Tidshorisont,SUM(Materialedata[[#This Row],[C3/m²]:[C4/m²]]),IF(MOD(CI$2,Materialedata[[#This Row],[Levetid]])=0,SUM(Materialedata[[#This Row],[A1-A3/m²]:[C4/m²]]),0))
))</f>
        <v>.</v>
      </c>
      <c r="CJ8" s="141" t="str">
        <f>IF(CJ$2&gt;Input_Tidshorisont,BlankTegn,IF(CJ$2=0,SUM(Materialedata[[#This Row],[A1-A3/m²]:[A4/m²]]),
CI8+IF(CJ$2=Input_Tidshorisont,SUM(Materialedata[[#This Row],[C3/m²]:[C4/m²]]),IF(MOD(CJ$2,Materialedata[[#This Row],[Levetid]])=0,SUM(Materialedata[[#This Row],[A1-A3/m²]:[C4/m²]]),0))
))</f>
        <v>.</v>
      </c>
      <c r="CK8" s="141" t="str">
        <f>IF(CK$2&gt;Input_Tidshorisont,BlankTegn,IF(CK$2=0,SUM(Materialedata[[#This Row],[A1-A3/m²]:[A4/m²]]),
CJ8+IF(CK$2=Input_Tidshorisont,SUM(Materialedata[[#This Row],[C3/m²]:[C4/m²]]),IF(MOD(CK$2,Materialedata[[#This Row],[Levetid]])=0,SUM(Materialedata[[#This Row],[A1-A3/m²]:[C4/m²]]),0))
))</f>
        <v>.</v>
      </c>
      <c r="CL8" s="141" t="str">
        <f>IF(CL$2&gt;Input_Tidshorisont,BlankTegn,IF(CL$2=0,SUM(Materialedata[[#This Row],[A1-A3/m²]:[A4/m²]]),
CK8+IF(CL$2=Input_Tidshorisont,SUM(Materialedata[[#This Row],[C3/m²]:[C4/m²]]),IF(MOD(CL$2,Materialedata[[#This Row],[Levetid]])=0,SUM(Materialedata[[#This Row],[A1-A3/m²]:[C4/m²]]),0))
))</f>
        <v>.</v>
      </c>
      <c r="CM8" s="141" t="str">
        <f>IF(CM$2&gt;Input_Tidshorisont,BlankTegn,IF(CM$2=0,SUM(Materialedata[[#This Row],[A1-A3/m²]:[A4/m²]]),
CL8+IF(CM$2=Input_Tidshorisont,SUM(Materialedata[[#This Row],[C3/m²]:[C4/m²]]),IF(MOD(CM$2,Materialedata[[#This Row],[Levetid]])=0,SUM(Materialedata[[#This Row],[A1-A3/m²]:[C4/m²]]),0))
))</f>
        <v>.</v>
      </c>
      <c r="CN8" s="141" t="str">
        <f>IF(CN$2&gt;Input_Tidshorisont,BlankTegn,IF(CN$2=0,SUM(Materialedata[[#This Row],[A1-A3/m²]:[A4/m²]]),
CM8+IF(CN$2=Input_Tidshorisont,SUM(Materialedata[[#This Row],[C3/m²]:[C4/m²]]),IF(MOD(CN$2,Materialedata[[#This Row],[Levetid]])=0,SUM(Materialedata[[#This Row],[A1-A3/m²]:[C4/m²]]),0))
))</f>
        <v>.</v>
      </c>
      <c r="CO8" s="141" t="str">
        <f>IF(CO$2&gt;Input_Tidshorisont,BlankTegn,IF(CO$2=0,SUM(Materialedata[[#This Row],[A1-A3/m²]:[A4/m²]]),
CN8+IF(CO$2=Input_Tidshorisont,SUM(Materialedata[[#This Row],[C3/m²]:[C4/m²]]),IF(MOD(CO$2,Materialedata[[#This Row],[Levetid]])=0,SUM(Materialedata[[#This Row],[A1-A3/m²]:[C4/m²]]),0))
))</f>
        <v>.</v>
      </c>
      <c r="CP8" s="141" t="str">
        <f>IF(CP$2&gt;Input_Tidshorisont,BlankTegn,IF(CP$2=0,SUM(Materialedata[[#This Row],[A1-A3/m²]:[A4/m²]]),
CO8+IF(CP$2=Input_Tidshorisont,SUM(Materialedata[[#This Row],[C3/m²]:[C4/m²]]),IF(MOD(CP$2,Materialedata[[#This Row],[Levetid]])=0,SUM(Materialedata[[#This Row],[A1-A3/m²]:[C4/m²]]),0))
))</f>
        <v>.</v>
      </c>
      <c r="CQ8" s="141" t="str">
        <f>IF(CQ$2&gt;Input_Tidshorisont,BlankTegn,IF(CQ$2=0,SUM(Materialedata[[#This Row],[A1-A3/m²]:[A4/m²]]),
CP8+IF(CQ$2=Input_Tidshorisont,SUM(Materialedata[[#This Row],[C3/m²]:[C4/m²]]),IF(MOD(CQ$2,Materialedata[[#This Row],[Levetid]])=0,SUM(Materialedata[[#This Row],[A1-A3/m²]:[C4/m²]]),0))
))</f>
        <v>.</v>
      </c>
      <c r="CR8" s="141" t="str">
        <f>IF(CR$2&gt;Input_Tidshorisont,BlankTegn,IF(CR$2=0,SUM(Materialedata[[#This Row],[A1-A3/m²]:[A4/m²]]),
CQ8+IF(CR$2=Input_Tidshorisont,SUM(Materialedata[[#This Row],[C3/m²]:[C4/m²]]),IF(MOD(CR$2,Materialedata[[#This Row],[Levetid]])=0,SUM(Materialedata[[#This Row],[A1-A3/m²]:[C4/m²]]),0))
))</f>
        <v>.</v>
      </c>
      <c r="CS8" s="141" t="str">
        <f>IF(CS$2&gt;Input_Tidshorisont,BlankTegn,IF(CS$2=0,SUM(Materialedata[[#This Row],[A1-A3/m²]:[A4/m²]]),
CR8+IF(CS$2=Input_Tidshorisont,SUM(Materialedata[[#This Row],[C3/m²]:[C4/m²]]),IF(MOD(CS$2,Materialedata[[#This Row],[Levetid]])=0,SUM(Materialedata[[#This Row],[A1-A3/m²]:[C4/m²]]),0))
))</f>
        <v>.</v>
      </c>
      <c r="CT8" s="141" t="str">
        <f>IF(CT$2&gt;Input_Tidshorisont,BlankTegn,IF(CT$2=0,SUM(Materialedata[[#This Row],[A1-A3/m²]:[A4/m²]]),
CS8+IF(CT$2=Input_Tidshorisont,SUM(Materialedata[[#This Row],[C3/m²]:[C4/m²]]),IF(MOD(CT$2,Materialedata[[#This Row],[Levetid]])=0,SUM(Materialedata[[#This Row],[A1-A3/m²]:[C4/m²]]),0))
))</f>
        <v>.</v>
      </c>
      <c r="CU8" s="141" t="str">
        <f>IF(CU$2&gt;Input_Tidshorisont,BlankTegn,IF(CU$2=0,SUM(Materialedata[[#This Row],[A1-A3/m²]:[A4/m²]]),
CT8+IF(CU$2=Input_Tidshorisont,SUM(Materialedata[[#This Row],[C3/m²]:[C4/m²]]),IF(MOD(CU$2,Materialedata[[#This Row],[Levetid]])=0,SUM(Materialedata[[#This Row],[A1-A3/m²]:[C4/m²]]),0))
))</f>
        <v>.</v>
      </c>
      <c r="CV8" s="141" t="str">
        <f>IF(CV$2&gt;Input_Tidshorisont,BlankTegn,IF(CV$2=0,SUM(Materialedata[[#This Row],[A1-A3/m²]:[A4/m²]]),
CU8+IF(CV$2=Input_Tidshorisont,SUM(Materialedata[[#This Row],[C3/m²]:[C4/m²]]),IF(MOD(CV$2,Materialedata[[#This Row],[Levetid]])=0,SUM(Materialedata[[#This Row],[A1-A3/m²]:[C4/m²]]),0))
))</f>
        <v>.</v>
      </c>
      <c r="CW8" s="141" t="str">
        <f>IF(CW$2&gt;Input_Tidshorisont,BlankTegn,IF(CW$2=0,SUM(Materialedata[[#This Row],[A1-A3/m²]:[A4/m²]]),
CV8+IF(CW$2=Input_Tidshorisont,SUM(Materialedata[[#This Row],[C3/m²]:[C4/m²]]),IF(MOD(CW$2,Materialedata[[#This Row],[Levetid]])=0,SUM(Materialedata[[#This Row],[A1-A3/m²]:[C4/m²]]),0))
))</f>
        <v>.</v>
      </c>
      <c r="CX8" s="141" t="str">
        <f>IF(CX$2&gt;Input_Tidshorisont,BlankTegn,IF(CX$2=0,SUM(Materialedata[[#This Row],[A1-A3/m²]:[A4/m²]]),
CW8+IF(CX$2=Input_Tidshorisont,SUM(Materialedata[[#This Row],[C3/m²]:[C4/m²]]),IF(MOD(CX$2,Materialedata[[#This Row],[Levetid]])=0,SUM(Materialedata[[#This Row],[A1-A3/m²]:[C4/m²]]),0))
))</f>
        <v>.</v>
      </c>
      <c r="CY8" s="141" t="str">
        <f>IF(CY$2&gt;Input_Tidshorisont,BlankTegn,IF(CY$2=0,SUM(Materialedata[[#This Row],[A1-A3/m²]:[A4/m²]]),
CX8+IF(CY$2=Input_Tidshorisont,SUM(Materialedata[[#This Row],[C3/m²]:[C4/m²]]),IF(MOD(CY$2,Materialedata[[#This Row],[Levetid]])=0,SUM(Materialedata[[#This Row],[A1-A3/m²]:[C4/m²]]),0))
))</f>
        <v>.</v>
      </c>
      <c r="CZ8" s="141" t="str">
        <f>IF(CZ$2&gt;Input_Tidshorisont,BlankTegn,IF(CZ$2=0,SUM(Materialedata[[#This Row],[A1-A3/m²]:[A4/m²]]),
CY8+IF(CZ$2=Input_Tidshorisont,SUM(Materialedata[[#This Row],[C3/m²]:[C4/m²]]),IF(MOD(CZ$2,Materialedata[[#This Row],[Levetid]])=0,SUM(Materialedata[[#This Row],[A1-A3/m²]:[C4/m²]]),0))
))</f>
        <v>.</v>
      </c>
      <c r="DA8" s="141" t="str">
        <f>IF(DA$2&gt;Input_Tidshorisont,BlankTegn,IF(DA$2=0,SUM(Materialedata[[#This Row],[A1-A3/m²]:[A4/m²]]),
CZ8+IF(DA$2=Input_Tidshorisont,SUM(Materialedata[[#This Row],[C3/m²]:[C4/m²]]),IF(MOD(DA$2,Materialedata[[#This Row],[Levetid]])=0,SUM(Materialedata[[#This Row],[A1-A3/m²]:[C4/m²]]),0))
))</f>
        <v>.</v>
      </c>
      <c r="DB8" s="141" t="str">
        <f>IF(DB$2&gt;Input_Tidshorisont,BlankTegn,IF(DB$2=0,SUM(Materialedata[[#This Row],[A1-A3/m²]:[A4/m²]]),
DA8+IF(DB$2=Input_Tidshorisont,SUM(Materialedata[[#This Row],[C3/m²]:[C4/m²]]),IF(MOD(DB$2,Materialedata[[#This Row],[Levetid]])=0,SUM(Materialedata[[#This Row],[A1-A3/m²]:[C4/m²]]),0))
))</f>
        <v>.</v>
      </c>
      <c r="DC8" s="141" t="str">
        <f>IF(DC$2&gt;Input_Tidshorisont,BlankTegn,IF(DC$2=0,SUM(Materialedata[[#This Row],[A1-A3/m²]:[A4/m²]]),
DB8+IF(DC$2=Input_Tidshorisont,SUM(Materialedata[[#This Row],[C3/m²]:[C4/m²]]),IF(MOD(DC$2,Materialedata[[#This Row],[Levetid]])=0,SUM(Materialedata[[#This Row],[A1-A3/m²]:[C4/m²]]),0))
))</f>
        <v>.</v>
      </c>
      <c r="DD8" s="141" t="str">
        <f>IF(DD$2&gt;Input_Tidshorisont,BlankTegn,IF(DD$2=0,SUM(Materialedata[[#This Row],[A1-A3/m²]:[A4/m²]]),
DC8+IF(DD$2=Input_Tidshorisont,SUM(Materialedata[[#This Row],[C3/m²]:[C4/m²]]),IF(MOD(DD$2,Materialedata[[#This Row],[Levetid]])=0,SUM(Materialedata[[#This Row],[A1-A3/m²]:[C4/m²]]),0))
))</f>
        <v>.</v>
      </c>
      <c r="DE8" s="141" t="str">
        <f>IF(DE$2&gt;Input_Tidshorisont,BlankTegn,IF(DE$2=0,SUM(Materialedata[[#This Row],[A1-A3/m²]:[A4/m²]]),
DD8+IF(DE$2=Input_Tidshorisont,SUM(Materialedata[[#This Row],[C3/m²]:[C4/m²]]),IF(MOD(DE$2,Materialedata[[#This Row],[Levetid]])=0,SUM(Materialedata[[#This Row],[A1-A3/m²]:[C4/m²]]),0))
))</f>
        <v>.</v>
      </c>
      <c r="DF8" s="141" t="str">
        <f>IF(DF$2&gt;Input_Tidshorisont,BlankTegn,IF(DF$2=0,SUM(Materialedata[[#This Row],[A1-A3/m²]:[A4/m²]]),
DE8+IF(DF$2=Input_Tidshorisont,SUM(Materialedata[[#This Row],[C3/m²]:[C4/m²]]),IF(MOD(DF$2,Materialedata[[#This Row],[Levetid]])=0,SUM(Materialedata[[#This Row],[A1-A3/m²]:[C4/m²]]),0))
))</f>
        <v>.</v>
      </c>
      <c r="DG8" s="141" t="str">
        <f>IF(DG$2&gt;Input_Tidshorisont,BlankTegn,IF(DG$2=0,SUM(Materialedata[[#This Row],[A1-A3/m²]:[A4/m²]]),
DF8+IF(DG$2=Input_Tidshorisont,SUM(Materialedata[[#This Row],[C3/m²]:[C4/m²]]),IF(MOD(DG$2,Materialedata[[#This Row],[Levetid]])=0,SUM(Materialedata[[#This Row],[A1-A3/m²]:[C4/m²]]),0))
))</f>
        <v>.</v>
      </c>
      <c r="DH8" s="141" t="str">
        <f>IF(DH$2&gt;Input_Tidshorisont,BlankTegn,IF(DH$2=0,SUM(Materialedata[[#This Row],[A1-A3/m²]:[A4/m²]]),
DG8+IF(DH$2=Input_Tidshorisont,SUM(Materialedata[[#This Row],[C3/m²]:[C4/m²]]),IF(MOD(DH$2,Materialedata[[#This Row],[Levetid]])=0,SUM(Materialedata[[#This Row],[A1-A3/m²]:[C4/m²]]),0))
))</f>
        <v>.</v>
      </c>
      <c r="DI8" s="141" t="str">
        <f>IF(DI$2&gt;Input_Tidshorisont,BlankTegn,IF(DI$2=0,SUM(Materialedata[[#This Row],[A1-A3/m²]:[A4/m²]]),
DH8+IF(DI$2=Input_Tidshorisont,SUM(Materialedata[[#This Row],[C3/m²]:[C4/m²]]),IF(MOD(DI$2,Materialedata[[#This Row],[Levetid]])=0,SUM(Materialedata[[#This Row],[A1-A3/m²]:[C4/m²]]),0))
))</f>
        <v>.</v>
      </c>
      <c r="DJ8" s="141" t="str">
        <f>IF(DJ$2&gt;Input_Tidshorisont,BlankTegn,IF(DJ$2=0,SUM(Materialedata[[#This Row],[A1-A3/m²]:[A4/m²]]),
DI8+IF(DJ$2=Input_Tidshorisont,SUM(Materialedata[[#This Row],[C3/m²]:[C4/m²]]),IF(MOD(DJ$2,Materialedata[[#This Row],[Levetid]])=0,SUM(Materialedata[[#This Row],[A1-A3/m²]:[C4/m²]]),0))
))</f>
        <v>.</v>
      </c>
      <c r="DK8" s="141" t="str">
        <f>IF(DK$2&gt;Input_Tidshorisont,BlankTegn,IF(DK$2=0,SUM(Materialedata[[#This Row],[A1-A3/m²]:[A4/m²]]),
DJ8+IF(DK$2=Input_Tidshorisont,SUM(Materialedata[[#This Row],[C3/m²]:[C4/m²]]),IF(MOD(DK$2,Materialedata[[#This Row],[Levetid]])=0,SUM(Materialedata[[#This Row],[A1-A3/m²]:[C4/m²]]),0))
))</f>
        <v>.</v>
      </c>
      <c r="DL8" s="141" t="str">
        <f>IF(DL$2&gt;Input_Tidshorisont,BlankTegn,IF(DL$2=0,SUM(Materialedata[[#This Row],[A1-A3/m²]:[A4/m²]]),
DK8+IF(DL$2=Input_Tidshorisont,SUM(Materialedata[[#This Row],[C3/m²]:[C4/m²]]),IF(MOD(DL$2,Materialedata[[#This Row],[Levetid]])=0,SUM(Materialedata[[#This Row],[A1-A3/m²]:[C4/m²]]),0))
))</f>
        <v>.</v>
      </c>
      <c r="DM8" s="19"/>
    </row>
    <row r="9" spans="1:117">
      <c r="A9" s="182" t="s">
        <v>33</v>
      </c>
      <c r="B9" s="182" t="s">
        <v>141</v>
      </c>
      <c r="C9" s="148" t="s">
        <v>142</v>
      </c>
      <c r="D9" s="149" t="s">
        <v>266</v>
      </c>
      <c r="E9" s="180" t="s">
        <v>307</v>
      </c>
      <c r="F9" s="182" t="s">
        <v>29</v>
      </c>
      <c r="G9" s="182">
        <v>80</v>
      </c>
      <c r="H9" s="183"/>
      <c r="I9" s="184">
        <v>30</v>
      </c>
      <c r="J9" s="184" t="s">
        <v>101</v>
      </c>
      <c r="K9" s="182">
        <v>15.39</v>
      </c>
      <c r="L9" s="182" t="s">
        <v>218</v>
      </c>
      <c r="M9" s="185">
        <f>IF(ISBLANK(Materialedata[[#This Row],[A4-gruppe]]),BlankTegn,INDEX(Byggeproces[GWP],MATCH(Materialedata[[#This Row],[A4-gruppe]],Byggeproces[Gruppe/Undergruppe],0)))</f>
        <v>6.1400000000000003E-2</v>
      </c>
      <c r="N9" s="182">
        <v>0.20300000000000001</v>
      </c>
      <c r="O9" s="182">
        <v>0</v>
      </c>
      <c r="P9" s="182">
        <v>-4.7239999999999997E-2</v>
      </c>
      <c r="Q9" s="182">
        <f>Materialedata[[#This Row],[A1-A3/standardenhed]]</f>
        <v>15.39</v>
      </c>
      <c r="R9" s="276" cm="1">
        <f t="array" ref="R9">IFERROR(_xlfn.IFS(Materialedata[[#This Row],[Mængde-enhed]]="kg/m²",Materialedata[[#This Row],[A4/kg]]*Materialedata[[#This Row],[Mængde/m²]],Materialedata[[#This Row],[Mængde-enhed]]="m³/m²",Materialedata[[#This Row],[A4/kg]]*Materialedata[[#This Row],[Mængde/m²]]*Materialedata[[#This Row],[Densitet]]),"N/A")</f>
        <v>1.8420000000000001</v>
      </c>
      <c r="S9" s="188">
        <f>Materialedata[[#This Row],[C3/enhed]]</f>
        <v>0.20300000000000001</v>
      </c>
      <c r="T9" s="188">
        <f>Materialedata[[#This Row],[C4/enhed]]</f>
        <v>0</v>
      </c>
      <c r="U9" s="188">
        <f>Materialedata[[#This Row],[D/enhed]]</f>
        <v>-4.7239999999999997E-2</v>
      </c>
      <c r="V9" s="150">
        <f>IFERROR(INDEX(Range_Materiale_Genbrug,MATCH(Materialedata[[#This Row],[Komponent]],Facadekomponenter,0)),BlankTegn)</f>
        <v>0</v>
      </c>
      <c r="W9" s="150">
        <f>IFERROR(1-Materialedata[[#This Row],[Genbrug]],BlankTegn)</f>
        <v>1</v>
      </c>
      <c r="X9" s="186">
        <f>IFERROR(Materialedata[[#This Row],[A1-A3/m²_nyt]]*Materialedata[[#This Row],[Nyt]],BlankTegn)</f>
        <v>15.39</v>
      </c>
      <c r="Y9" s="186">
        <f>Materialedata[[#This Row],[A4/m²_nyt]]</f>
        <v>1.8420000000000001</v>
      </c>
      <c r="Z9" s="186">
        <f>IFERROR(Materialedata[[#This Row],[C3/m²_nyt]]*Materialedata[[#This Row],[Nyt]],BlankTegn)</f>
        <v>0.20300000000000001</v>
      </c>
      <c r="AA9" s="186">
        <f>IFERROR(Materialedata[[#This Row],[C4/m²_nyt]]*Materialedata[[#This Row],[Nyt]],BlankTegn)</f>
        <v>0</v>
      </c>
      <c r="AB9" s="186">
        <f>IFERROR(Materialedata[[#This Row],[D/m²_nyt]]*Materialedata[[#This Row],[Nyt]],BlankTegn)</f>
        <v>-4.7239999999999997E-2</v>
      </c>
      <c r="AC9" s="187">
        <v>663.31056411133204</v>
      </c>
      <c r="AD9" s="188" t="s">
        <v>29</v>
      </c>
      <c r="AE9" s="182">
        <v>1</v>
      </c>
      <c r="AF9" s="189">
        <f>Materialedata[[#This Row],[Pris/enhed]]*Materialedata[[#This Row],[Omregning]]</f>
        <v>663.31056411133204</v>
      </c>
      <c r="AG9" s="190">
        <v>0.01</v>
      </c>
      <c r="AH9" s="191">
        <v>1</v>
      </c>
      <c r="AI9" s="162">
        <v>0</v>
      </c>
      <c r="AJ9" s="141">
        <f>IF(AJ$2&gt;Input_Tidshorisont,BlankTegn,IF(AJ$2=0,SUM(Materialedata[[#This Row],[A1-A3/m²]:[A4/m²]]),
AI9+IF(AJ$2=Input_Tidshorisont,SUM(Materialedata[[#This Row],[C3/m²]:[C4/m²]]),IF(MOD(AJ$2,Materialedata[[#This Row],[Levetid]])=0,SUM(Materialedata[[#This Row],[A1-A3/m²]:[C4/m²]]),0))
))</f>
        <v>17.231999999999999</v>
      </c>
      <c r="AK9" s="141">
        <f>IF(AK$2&gt;Input_Tidshorisont,BlankTegn,IF(AK$2=0,SUM(Materialedata[[#This Row],[A1-A3/m²]:[A4/m²]]),
AJ9+IF(AK$2=Input_Tidshorisont,SUM(Materialedata[[#This Row],[C3/m²]:[C4/m²]]),IF(MOD(AK$2,Materialedata[[#This Row],[Levetid]])=0,SUM(Materialedata[[#This Row],[A1-A3/m²]:[C4/m²]]),0))
))</f>
        <v>17.231999999999999</v>
      </c>
      <c r="AL9" s="141">
        <f>IF(AL$2&gt;Input_Tidshorisont,BlankTegn,IF(AL$2=0,SUM(Materialedata[[#This Row],[A1-A3/m²]:[A4/m²]]),
AK9+IF(AL$2=Input_Tidshorisont,SUM(Materialedata[[#This Row],[C3/m²]:[C4/m²]]),IF(MOD(AL$2,Materialedata[[#This Row],[Levetid]])=0,SUM(Materialedata[[#This Row],[A1-A3/m²]:[C4/m²]]),0))
))</f>
        <v>17.231999999999999</v>
      </c>
      <c r="AM9" s="141">
        <f>IF(AM$2&gt;Input_Tidshorisont,BlankTegn,IF(AM$2=0,SUM(Materialedata[[#This Row],[A1-A3/m²]:[A4/m²]]),
AL9+IF(AM$2=Input_Tidshorisont,SUM(Materialedata[[#This Row],[C3/m²]:[C4/m²]]),IF(MOD(AM$2,Materialedata[[#This Row],[Levetid]])=0,SUM(Materialedata[[#This Row],[A1-A3/m²]:[C4/m²]]),0))
))</f>
        <v>17.231999999999999</v>
      </c>
      <c r="AN9" s="141">
        <f>IF(AN$2&gt;Input_Tidshorisont,BlankTegn,IF(AN$2=0,SUM(Materialedata[[#This Row],[A1-A3/m²]:[A4/m²]]),
AM9+IF(AN$2=Input_Tidshorisont,SUM(Materialedata[[#This Row],[C3/m²]:[C4/m²]]),IF(MOD(AN$2,Materialedata[[#This Row],[Levetid]])=0,SUM(Materialedata[[#This Row],[A1-A3/m²]:[C4/m²]]),0))
))</f>
        <v>17.231999999999999</v>
      </c>
      <c r="AO9" s="141">
        <f>IF(AO$2&gt;Input_Tidshorisont,BlankTegn,IF(AO$2=0,SUM(Materialedata[[#This Row],[A1-A3/m²]:[A4/m²]]),
AN9+IF(AO$2=Input_Tidshorisont,SUM(Materialedata[[#This Row],[C3/m²]:[C4/m²]]),IF(MOD(AO$2,Materialedata[[#This Row],[Levetid]])=0,SUM(Materialedata[[#This Row],[A1-A3/m²]:[C4/m²]]),0))
))</f>
        <v>17.231999999999999</v>
      </c>
      <c r="AP9" s="141">
        <f>IF(AP$2&gt;Input_Tidshorisont,BlankTegn,IF(AP$2=0,SUM(Materialedata[[#This Row],[A1-A3/m²]:[A4/m²]]),
AO9+IF(AP$2=Input_Tidshorisont,SUM(Materialedata[[#This Row],[C3/m²]:[C4/m²]]),IF(MOD(AP$2,Materialedata[[#This Row],[Levetid]])=0,SUM(Materialedata[[#This Row],[A1-A3/m²]:[C4/m²]]),0))
))</f>
        <v>17.231999999999999</v>
      </c>
      <c r="AQ9" s="141">
        <f>IF(AQ$2&gt;Input_Tidshorisont,BlankTegn,IF(AQ$2=0,SUM(Materialedata[[#This Row],[A1-A3/m²]:[A4/m²]]),
AP9+IF(AQ$2=Input_Tidshorisont,SUM(Materialedata[[#This Row],[C3/m²]:[C4/m²]]),IF(MOD(AQ$2,Materialedata[[#This Row],[Levetid]])=0,SUM(Materialedata[[#This Row],[A1-A3/m²]:[C4/m²]]),0))
))</f>
        <v>17.231999999999999</v>
      </c>
      <c r="AR9" s="141">
        <f>IF(AR$2&gt;Input_Tidshorisont,BlankTegn,IF(AR$2=0,SUM(Materialedata[[#This Row],[A1-A3/m²]:[A4/m²]]),
AQ9+IF(AR$2=Input_Tidshorisont,SUM(Materialedata[[#This Row],[C3/m²]:[C4/m²]]),IF(MOD(AR$2,Materialedata[[#This Row],[Levetid]])=0,SUM(Materialedata[[#This Row],[A1-A3/m²]:[C4/m²]]),0))
))</f>
        <v>17.231999999999999</v>
      </c>
      <c r="AS9" s="141">
        <f>IF(AS$2&gt;Input_Tidshorisont,BlankTegn,IF(AS$2=0,SUM(Materialedata[[#This Row],[A1-A3/m²]:[A4/m²]]),
AR9+IF(AS$2=Input_Tidshorisont,SUM(Materialedata[[#This Row],[C3/m²]:[C4/m²]]),IF(MOD(AS$2,Materialedata[[#This Row],[Levetid]])=0,SUM(Materialedata[[#This Row],[A1-A3/m²]:[C4/m²]]),0))
))</f>
        <v>17.231999999999999</v>
      </c>
      <c r="AT9" s="141">
        <f>IF(AT$2&gt;Input_Tidshorisont,BlankTegn,IF(AT$2=0,SUM(Materialedata[[#This Row],[A1-A3/m²]:[A4/m²]]),
AS9+IF(AT$2=Input_Tidshorisont,SUM(Materialedata[[#This Row],[C3/m²]:[C4/m²]]),IF(MOD(AT$2,Materialedata[[#This Row],[Levetid]])=0,SUM(Materialedata[[#This Row],[A1-A3/m²]:[C4/m²]]),0))
))</f>
        <v>17.231999999999999</v>
      </c>
      <c r="AU9" s="141">
        <f>IF(AU$2&gt;Input_Tidshorisont,BlankTegn,IF(AU$2=0,SUM(Materialedata[[#This Row],[A1-A3/m²]:[A4/m²]]),
AT9+IF(AU$2=Input_Tidshorisont,SUM(Materialedata[[#This Row],[C3/m²]:[C4/m²]]),IF(MOD(AU$2,Materialedata[[#This Row],[Levetid]])=0,SUM(Materialedata[[#This Row],[A1-A3/m²]:[C4/m²]]),0))
))</f>
        <v>17.231999999999999</v>
      </c>
      <c r="AV9" s="141">
        <f>IF(AV$2&gt;Input_Tidshorisont,BlankTegn,IF(AV$2=0,SUM(Materialedata[[#This Row],[A1-A3/m²]:[A4/m²]]),
AU9+IF(AV$2=Input_Tidshorisont,SUM(Materialedata[[#This Row],[C3/m²]:[C4/m²]]),IF(MOD(AV$2,Materialedata[[#This Row],[Levetid]])=0,SUM(Materialedata[[#This Row],[A1-A3/m²]:[C4/m²]]),0))
))</f>
        <v>17.231999999999999</v>
      </c>
      <c r="AW9" s="141">
        <f>IF(AW$2&gt;Input_Tidshorisont,BlankTegn,IF(AW$2=0,SUM(Materialedata[[#This Row],[A1-A3/m²]:[A4/m²]]),
AV9+IF(AW$2=Input_Tidshorisont,SUM(Materialedata[[#This Row],[C3/m²]:[C4/m²]]),IF(MOD(AW$2,Materialedata[[#This Row],[Levetid]])=0,SUM(Materialedata[[#This Row],[A1-A3/m²]:[C4/m²]]),0))
))</f>
        <v>17.231999999999999</v>
      </c>
      <c r="AX9" s="141">
        <f>IF(AX$2&gt;Input_Tidshorisont,BlankTegn,IF(AX$2=0,SUM(Materialedata[[#This Row],[A1-A3/m²]:[A4/m²]]),
AW9+IF(AX$2=Input_Tidshorisont,SUM(Materialedata[[#This Row],[C3/m²]:[C4/m²]]),IF(MOD(AX$2,Materialedata[[#This Row],[Levetid]])=0,SUM(Materialedata[[#This Row],[A1-A3/m²]:[C4/m²]]),0))
))</f>
        <v>17.231999999999999</v>
      </c>
      <c r="AY9" s="141">
        <f>IF(AY$2&gt;Input_Tidshorisont,BlankTegn,IF(AY$2=0,SUM(Materialedata[[#This Row],[A1-A3/m²]:[A4/m²]]),
AX9+IF(AY$2=Input_Tidshorisont,SUM(Materialedata[[#This Row],[C3/m²]:[C4/m²]]),IF(MOD(AY$2,Materialedata[[#This Row],[Levetid]])=0,SUM(Materialedata[[#This Row],[A1-A3/m²]:[C4/m²]]),0))
))</f>
        <v>17.231999999999999</v>
      </c>
      <c r="AZ9" s="141">
        <f>IF(AZ$2&gt;Input_Tidshorisont,BlankTegn,IF(AZ$2=0,SUM(Materialedata[[#This Row],[A1-A3/m²]:[A4/m²]]),
AY9+IF(AZ$2=Input_Tidshorisont,SUM(Materialedata[[#This Row],[C3/m²]:[C4/m²]]),IF(MOD(AZ$2,Materialedata[[#This Row],[Levetid]])=0,SUM(Materialedata[[#This Row],[A1-A3/m²]:[C4/m²]]),0))
))</f>
        <v>17.231999999999999</v>
      </c>
      <c r="BA9" s="141">
        <f>IF(BA$2&gt;Input_Tidshorisont,BlankTegn,IF(BA$2=0,SUM(Materialedata[[#This Row],[A1-A3/m²]:[A4/m²]]),
AZ9+IF(BA$2=Input_Tidshorisont,SUM(Materialedata[[#This Row],[C3/m²]:[C4/m²]]),IF(MOD(BA$2,Materialedata[[#This Row],[Levetid]])=0,SUM(Materialedata[[#This Row],[A1-A3/m²]:[C4/m²]]),0))
))</f>
        <v>17.231999999999999</v>
      </c>
      <c r="BB9" s="141">
        <f>IF(BB$2&gt;Input_Tidshorisont,BlankTegn,IF(BB$2=0,SUM(Materialedata[[#This Row],[A1-A3/m²]:[A4/m²]]),
BA9+IF(BB$2=Input_Tidshorisont,SUM(Materialedata[[#This Row],[C3/m²]:[C4/m²]]),IF(MOD(BB$2,Materialedata[[#This Row],[Levetid]])=0,SUM(Materialedata[[#This Row],[A1-A3/m²]:[C4/m²]]),0))
))</f>
        <v>17.231999999999999</v>
      </c>
      <c r="BC9" s="141">
        <f>IF(BC$2&gt;Input_Tidshorisont,BlankTegn,IF(BC$2=0,SUM(Materialedata[[#This Row],[A1-A3/m²]:[A4/m²]]),
BB9+IF(BC$2=Input_Tidshorisont,SUM(Materialedata[[#This Row],[C3/m²]:[C4/m²]]),IF(MOD(BC$2,Materialedata[[#This Row],[Levetid]])=0,SUM(Materialedata[[#This Row],[A1-A3/m²]:[C4/m²]]),0))
))</f>
        <v>17.231999999999999</v>
      </c>
      <c r="BD9" s="141">
        <f>IF(BD$2&gt;Input_Tidshorisont,BlankTegn,IF(BD$2=0,SUM(Materialedata[[#This Row],[A1-A3/m²]:[A4/m²]]),
BC9+IF(BD$2=Input_Tidshorisont,SUM(Materialedata[[#This Row],[C3/m²]:[C4/m²]]),IF(MOD(BD$2,Materialedata[[#This Row],[Levetid]])=0,SUM(Materialedata[[#This Row],[A1-A3/m²]:[C4/m²]]),0))
))</f>
        <v>17.231999999999999</v>
      </c>
      <c r="BE9" s="141">
        <f>IF(BE$2&gt;Input_Tidshorisont,BlankTegn,IF(BE$2=0,SUM(Materialedata[[#This Row],[A1-A3/m²]:[A4/m²]]),
BD9+IF(BE$2=Input_Tidshorisont,SUM(Materialedata[[#This Row],[C3/m²]:[C4/m²]]),IF(MOD(BE$2,Materialedata[[#This Row],[Levetid]])=0,SUM(Materialedata[[#This Row],[A1-A3/m²]:[C4/m²]]),0))
))</f>
        <v>17.231999999999999</v>
      </c>
      <c r="BF9" s="141">
        <f>IF(BF$2&gt;Input_Tidshorisont,BlankTegn,IF(BF$2=0,SUM(Materialedata[[#This Row],[A1-A3/m²]:[A4/m²]]),
BE9+IF(BF$2=Input_Tidshorisont,SUM(Materialedata[[#This Row],[C3/m²]:[C4/m²]]),IF(MOD(BF$2,Materialedata[[#This Row],[Levetid]])=0,SUM(Materialedata[[#This Row],[A1-A3/m²]:[C4/m²]]),0))
))</f>
        <v>17.231999999999999</v>
      </c>
      <c r="BG9" s="141">
        <f>IF(BG$2&gt;Input_Tidshorisont,BlankTegn,IF(BG$2=0,SUM(Materialedata[[#This Row],[A1-A3/m²]:[A4/m²]]),
BF9+IF(BG$2=Input_Tidshorisont,SUM(Materialedata[[#This Row],[C3/m²]:[C4/m²]]),IF(MOD(BG$2,Materialedata[[#This Row],[Levetid]])=0,SUM(Materialedata[[#This Row],[A1-A3/m²]:[C4/m²]]),0))
))</f>
        <v>17.231999999999999</v>
      </c>
      <c r="BH9" s="141">
        <f>IF(BH$2&gt;Input_Tidshorisont,BlankTegn,IF(BH$2=0,SUM(Materialedata[[#This Row],[A1-A3/m²]:[A4/m²]]),
BG9+IF(BH$2=Input_Tidshorisont,SUM(Materialedata[[#This Row],[C3/m²]:[C4/m²]]),IF(MOD(BH$2,Materialedata[[#This Row],[Levetid]])=0,SUM(Materialedata[[#This Row],[A1-A3/m²]:[C4/m²]]),0))
))</f>
        <v>17.231999999999999</v>
      </c>
      <c r="BI9" s="141">
        <f>IF(BI$2&gt;Input_Tidshorisont,BlankTegn,IF(BI$2=0,SUM(Materialedata[[#This Row],[A1-A3/m²]:[A4/m²]]),
BH9+IF(BI$2=Input_Tidshorisont,SUM(Materialedata[[#This Row],[C3/m²]:[C4/m²]]),IF(MOD(BI$2,Materialedata[[#This Row],[Levetid]])=0,SUM(Materialedata[[#This Row],[A1-A3/m²]:[C4/m²]]),0))
))</f>
        <v>17.231999999999999</v>
      </c>
      <c r="BJ9" s="141">
        <f>IF(BJ$2&gt;Input_Tidshorisont,BlankTegn,IF(BJ$2=0,SUM(Materialedata[[#This Row],[A1-A3/m²]:[A4/m²]]),
BI9+IF(BJ$2=Input_Tidshorisont,SUM(Materialedata[[#This Row],[C3/m²]:[C4/m²]]),IF(MOD(BJ$2,Materialedata[[#This Row],[Levetid]])=0,SUM(Materialedata[[#This Row],[A1-A3/m²]:[C4/m²]]),0))
))</f>
        <v>17.231999999999999</v>
      </c>
      <c r="BK9" s="141">
        <f>IF(BK$2&gt;Input_Tidshorisont,BlankTegn,IF(BK$2=0,SUM(Materialedata[[#This Row],[A1-A3/m²]:[A4/m²]]),
BJ9+IF(BK$2=Input_Tidshorisont,SUM(Materialedata[[#This Row],[C3/m²]:[C4/m²]]),IF(MOD(BK$2,Materialedata[[#This Row],[Levetid]])=0,SUM(Materialedata[[#This Row],[A1-A3/m²]:[C4/m²]]),0))
))</f>
        <v>17.231999999999999</v>
      </c>
      <c r="BL9" s="141">
        <f>IF(BL$2&gt;Input_Tidshorisont,BlankTegn,IF(BL$2=0,SUM(Materialedata[[#This Row],[A1-A3/m²]:[A4/m²]]),
BK9+IF(BL$2=Input_Tidshorisont,SUM(Materialedata[[#This Row],[C3/m²]:[C4/m²]]),IF(MOD(BL$2,Materialedata[[#This Row],[Levetid]])=0,SUM(Materialedata[[#This Row],[A1-A3/m²]:[C4/m²]]),0))
))</f>
        <v>17.231999999999999</v>
      </c>
      <c r="BM9" s="141">
        <f>IF(BM$2&gt;Input_Tidshorisont,BlankTegn,IF(BM$2=0,SUM(Materialedata[[#This Row],[A1-A3/m²]:[A4/m²]]),
BL9+IF(BM$2=Input_Tidshorisont,SUM(Materialedata[[#This Row],[C3/m²]:[C4/m²]]),IF(MOD(BM$2,Materialedata[[#This Row],[Levetid]])=0,SUM(Materialedata[[#This Row],[A1-A3/m²]:[C4/m²]]),0))
))</f>
        <v>17.231999999999999</v>
      </c>
      <c r="BN9" s="141">
        <f>IF(BN$2&gt;Input_Tidshorisont,BlankTegn,IF(BN$2=0,SUM(Materialedata[[#This Row],[A1-A3/m²]:[A4/m²]]),
BM9+IF(BN$2=Input_Tidshorisont,SUM(Materialedata[[#This Row],[C3/m²]:[C4/m²]]),IF(MOD(BN$2,Materialedata[[#This Row],[Levetid]])=0,SUM(Materialedata[[#This Row],[A1-A3/m²]:[C4/m²]]),0))
))</f>
        <v>17.231999999999999</v>
      </c>
      <c r="BO9" s="141">
        <f>IF(BO$2&gt;Input_Tidshorisont,BlankTegn,IF(BO$2=0,SUM(Materialedata[[#This Row],[A1-A3/m²]:[A4/m²]]),
BN9+IF(BO$2=Input_Tidshorisont,SUM(Materialedata[[#This Row],[C3/m²]:[C4/m²]]),IF(MOD(BO$2,Materialedata[[#This Row],[Levetid]])=0,SUM(Materialedata[[#This Row],[A1-A3/m²]:[C4/m²]]),0))
))</f>
        <v>17.231999999999999</v>
      </c>
      <c r="BP9" s="141">
        <f>IF(BP$2&gt;Input_Tidshorisont,BlankTegn,IF(BP$2=0,SUM(Materialedata[[#This Row],[A1-A3/m²]:[A4/m²]]),
BO9+IF(BP$2=Input_Tidshorisont,SUM(Materialedata[[#This Row],[C3/m²]:[C4/m²]]),IF(MOD(BP$2,Materialedata[[#This Row],[Levetid]])=0,SUM(Materialedata[[#This Row],[A1-A3/m²]:[C4/m²]]),0))
))</f>
        <v>17.231999999999999</v>
      </c>
      <c r="BQ9" s="141">
        <f>IF(BQ$2&gt;Input_Tidshorisont,BlankTegn,IF(BQ$2=0,SUM(Materialedata[[#This Row],[A1-A3/m²]:[A4/m²]]),
BP9+IF(BQ$2=Input_Tidshorisont,SUM(Materialedata[[#This Row],[C3/m²]:[C4/m²]]),IF(MOD(BQ$2,Materialedata[[#This Row],[Levetid]])=0,SUM(Materialedata[[#This Row],[A1-A3/m²]:[C4/m²]]),0))
))</f>
        <v>17.231999999999999</v>
      </c>
      <c r="BR9" s="141">
        <f>IF(BR$2&gt;Input_Tidshorisont,BlankTegn,IF(BR$2=0,SUM(Materialedata[[#This Row],[A1-A3/m²]:[A4/m²]]),
BQ9+IF(BR$2=Input_Tidshorisont,SUM(Materialedata[[#This Row],[C3/m²]:[C4/m²]]),IF(MOD(BR$2,Materialedata[[#This Row],[Levetid]])=0,SUM(Materialedata[[#This Row],[A1-A3/m²]:[C4/m²]]),0))
))</f>
        <v>17.231999999999999</v>
      </c>
      <c r="BS9" s="141">
        <f>IF(BS$2&gt;Input_Tidshorisont,BlankTegn,IF(BS$2=0,SUM(Materialedata[[#This Row],[A1-A3/m²]:[A4/m²]]),
BR9+IF(BS$2=Input_Tidshorisont,SUM(Materialedata[[#This Row],[C3/m²]:[C4/m²]]),IF(MOD(BS$2,Materialedata[[#This Row],[Levetid]])=0,SUM(Materialedata[[#This Row],[A1-A3/m²]:[C4/m²]]),0))
))</f>
        <v>17.231999999999999</v>
      </c>
      <c r="BT9" s="141">
        <f>IF(BT$2&gt;Input_Tidshorisont,BlankTegn,IF(BT$2=0,SUM(Materialedata[[#This Row],[A1-A3/m²]:[A4/m²]]),
BS9+IF(BT$2=Input_Tidshorisont,SUM(Materialedata[[#This Row],[C3/m²]:[C4/m²]]),IF(MOD(BT$2,Materialedata[[#This Row],[Levetid]])=0,SUM(Materialedata[[#This Row],[A1-A3/m²]:[C4/m²]]),0))
))</f>
        <v>17.231999999999999</v>
      </c>
      <c r="BU9" s="141">
        <f>IF(BU$2&gt;Input_Tidshorisont,BlankTegn,IF(BU$2=0,SUM(Materialedata[[#This Row],[A1-A3/m²]:[A4/m²]]),
BT9+IF(BU$2=Input_Tidshorisont,SUM(Materialedata[[#This Row],[C3/m²]:[C4/m²]]),IF(MOD(BU$2,Materialedata[[#This Row],[Levetid]])=0,SUM(Materialedata[[#This Row],[A1-A3/m²]:[C4/m²]]),0))
))</f>
        <v>17.231999999999999</v>
      </c>
      <c r="BV9" s="141">
        <f>IF(BV$2&gt;Input_Tidshorisont,BlankTegn,IF(BV$2=0,SUM(Materialedata[[#This Row],[A1-A3/m²]:[A4/m²]]),
BU9+IF(BV$2=Input_Tidshorisont,SUM(Materialedata[[#This Row],[C3/m²]:[C4/m²]]),IF(MOD(BV$2,Materialedata[[#This Row],[Levetid]])=0,SUM(Materialedata[[#This Row],[A1-A3/m²]:[C4/m²]]),0))
))</f>
        <v>17.231999999999999</v>
      </c>
      <c r="BW9" s="141">
        <f>IF(BW$2&gt;Input_Tidshorisont,BlankTegn,IF(BW$2=0,SUM(Materialedata[[#This Row],[A1-A3/m²]:[A4/m²]]),
BV9+IF(BW$2=Input_Tidshorisont,SUM(Materialedata[[#This Row],[C3/m²]:[C4/m²]]),IF(MOD(BW$2,Materialedata[[#This Row],[Levetid]])=0,SUM(Materialedata[[#This Row],[A1-A3/m²]:[C4/m²]]),0))
))</f>
        <v>17.231999999999999</v>
      </c>
      <c r="BX9" s="141">
        <f>IF(BX$2&gt;Input_Tidshorisont,BlankTegn,IF(BX$2=0,SUM(Materialedata[[#This Row],[A1-A3/m²]:[A4/m²]]),
BW9+IF(BX$2=Input_Tidshorisont,SUM(Materialedata[[#This Row],[C3/m²]:[C4/m²]]),IF(MOD(BX$2,Materialedata[[#This Row],[Levetid]])=0,SUM(Materialedata[[#This Row],[A1-A3/m²]:[C4/m²]]),0))
))</f>
        <v>17.231999999999999</v>
      </c>
      <c r="BY9" s="141">
        <f>IF(BY$2&gt;Input_Tidshorisont,BlankTegn,IF(BY$2=0,SUM(Materialedata[[#This Row],[A1-A3/m²]:[A4/m²]]),
BX9+IF(BY$2=Input_Tidshorisont,SUM(Materialedata[[#This Row],[C3/m²]:[C4/m²]]),IF(MOD(BY$2,Materialedata[[#This Row],[Levetid]])=0,SUM(Materialedata[[#This Row],[A1-A3/m²]:[C4/m²]]),0))
))</f>
        <v>17.231999999999999</v>
      </c>
      <c r="BZ9" s="141">
        <f>IF(BZ$2&gt;Input_Tidshorisont,BlankTegn,IF(BZ$2=0,SUM(Materialedata[[#This Row],[A1-A3/m²]:[A4/m²]]),
BY9+IF(BZ$2=Input_Tidshorisont,SUM(Materialedata[[#This Row],[C3/m²]:[C4/m²]]),IF(MOD(BZ$2,Materialedata[[#This Row],[Levetid]])=0,SUM(Materialedata[[#This Row],[A1-A3/m²]:[C4/m²]]),0))
))</f>
        <v>17.231999999999999</v>
      </c>
      <c r="CA9" s="141">
        <f>IF(CA$2&gt;Input_Tidshorisont,BlankTegn,IF(CA$2=0,SUM(Materialedata[[#This Row],[A1-A3/m²]:[A4/m²]]),
BZ9+IF(CA$2=Input_Tidshorisont,SUM(Materialedata[[#This Row],[C3/m²]:[C4/m²]]),IF(MOD(CA$2,Materialedata[[#This Row],[Levetid]])=0,SUM(Materialedata[[#This Row],[A1-A3/m²]:[C4/m²]]),0))
))</f>
        <v>17.231999999999999</v>
      </c>
      <c r="CB9" s="141">
        <f>IF(CB$2&gt;Input_Tidshorisont,BlankTegn,IF(CB$2=0,SUM(Materialedata[[#This Row],[A1-A3/m²]:[A4/m²]]),
CA9+IF(CB$2=Input_Tidshorisont,SUM(Materialedata[[#This Row],[C3/m²]:[C4/m²]]),IF(MOD(CB$2,Materialedata[[#This Row],[Levetid]])=0,SUM(Materialedata[[#This Row],[A1-A3/m²]:[C4/m²]]),0))
))</f>
        <v>17.231999999999999</v>
      </c>
      <c r="CC9" s="141">
        <f>IF(CC$2&gt;Input_Tidshorisont,BlankTegn,IF(CC$2=0,SUM(Materialedata[[#This Row],[A1-A3/m²]:[A4/m²]]),
CB9+IF(CC$2=Input_Tidshorisont,SUM(Materialedata[[#This Row],[C3/m²]:[C4/m²]]),IF(MOD(CC$2,Materialedata[[#This Row],[Levetid]])=0,SUM(Materialedata[[#This Row],[A1-A3/m²]:[C4/m²]]),0))
))</f>
        <v>17.231999999999999</v>
      </c>
      <c r="CD9" s="141">
        <f>IF(CD$2&gt;Input_Tidshorisont,BlankTegn,IF(CD$2=0,SUM(Materialedata[[#This Row],[A1-A3/m²]:[A4/m²]]),
CC9+IF(CD$2=Input_Tidshorisont,SUM(Materialedata[[#This Row],[C3/m²]:[C4/m²]]),IF(MOD(CD$2,Materialedata[[#This Row],[Levetid]])=0,SUM(Materialedata[[#This Row],[A1-A3/m²]:[C4/m²]]),0))
))</f>
        <v>17.231999999999999</v>
      </c>
      <c r="CE9" s="141">
        <f>IF(CE$2&gt;Input_Tidshorisont,BlankTegn,IF(CE$2=0,SUM(Materialedata[[#This Row],[A1-A3/m²]:[A4/m²]]),
CD9+IF(CE$2=Input_Tidshorisont,SUM(Materialedata[[#This Row],[C3/m²]:[C4/m²]]),IF(MOD(CE$2,Materialedata[[#This Row],[Levetid]])=0,SUM(Materialedata[[#This Row],[A1-A3/m²]:[C4/m²]]),0))
))</f>
        <v>17.231999999999999</v>
      </c>
      <c r="CF9" s="141">
        <f>IF(CF$2&gt;Input_Tidshorisont,BlankTegn,IF(CF$2=0,SUM(Materialedata[[#This Row],[A1-A3/m²]:[A4/m²]]),
CE9+IF(CF$2=Input_Tidshorisont,SUM(Materialedata[[#This Row],[C3/m²]:[C4/m²]]),IF(MOD(CF$2,Materialedata[[#This Row],[Levetid]])=0,SUM(Materialedata[[#This Row],[A1-A3/m²]:[C4/m²]]),0))
))</f>
        <v>17.231999999999999</v>
      </c>
      <c r="CG9" s="141">
        <f>IF(CG$2&gt;Input_Tidshorisont,BlankTegn,IF(CG$2=0,SUM(Materialedata[[#This Row],[A1-A3/m²]:[A4/m²]]),
CF9+IF(CG$2=Input_Tidshorisont,SUM(Materialedata[[#This Row],[C3/m²]:[C4/m²]]),IF(MOD(CG$2,Materialedata[[#This Row],[Levetid]])=0,SUM(Materialedata[[#This Row],[A1-A3/m²]:[C4/m²]]),0))
))</f>
        <v>17.231999999999999</v>
      </c>
      <c r="CH9" s="141">
        <f>IF(CH$2&gt;Input_Tidshorisont,BlankTegn,IF(CH$2=0,SUM(Materialedata[[#This Row],[A1-A3/m²]:[A4/m²]]),
CG9+IF(CH$2=Input_Tidshorisont,SUM(Materialedata[[#This Row],[C3/m²]:[C4/m²]]),IF(MOD(CH$2,Materialedata[[#This Row],[Levetid]])=0,SUM(Materialedata[[#This Row],[A1-A3/m²]:[C4/m²]]),0))
))</f>
        <v>17.434999999999999</v>
      </c>
      <c r="CI9" s="141" t="str">
        <f>IF(CI$2&gt;Input_Tidshorisont,BlankTegn,IF(CI$2=0,SUM(Materialedata[[#This Row],[A1-A3/m²]:[A4/m²]]),
CH9+IF(CI$2=Input_Tidshorisont,SUM(Materialedata[[#This Row],[C3/m²]:[C4/m²]]),IF(MOD(CI$2,Materialedata[[#This Row],[Levetid]])=0,SUM(Materialedata[[#This Row],[A1-A3/m²]:[C4/m²]]),0))
))</f>
        <v>.</v>
      </c>
      <c r="CJ9" s="141" t="str">
        <f>IF(CJ$2&gt;Input_Tidshorisont,BlankTegn,IF(CJ$2=0,SUM(Materialedata[[#This Row],[A1-A3/m²]:[A4/m²]]),
CI9+IF(CJ$2=Input_Tidshorisont,SUM(Materialedata[[#This Row],[C3/m²]:[C4/m²]]),IF(MOD(CJ$2,Materialedata[[#This Row],[Levetid]])=0,SUM(Materialedata[[#This Row],[A1-A3/m²]:[C4/m²]]),0))
))</f>
        <v>.</v>
      </c>
      <c r="CK9" s="141" t="str">
        <f>IF(CK$2&gt;Input_Tidshorisont,BlankTegn,IF(CK$2=0,SUM(Materialedata[[#This Row],[A1-A3/m²]:[A4/m²]]),
CJ9+IF(CK$2=Input_Tidshorisont,SUM(Materialedata[[#This Row],[C3/m²]:[C4/m²]]),IF(MOD(CK$2,Materialedata[[#This Row],[Levetid]])=0,SUM(Materialedata[[#This Row],[A1-A3/m²]:[C4/m²]]),0))
))</f>
        <v>.</v>
      </c>
      <c r="CL9" s="141" t="str">
        <f>IF(CL$2&gt;Input_Tidshorisont,BlankTegn,IF(CL$2=0,SUM(Materialedata[[#This Row],[A1-A3/m²]:[A4/m²]]),
CK9+IF(CL$2=Input_Tidshorisont,SUM(Materialedata[[#This Row],[C3/m²]:[C4/m²]]),IF(MOD(CL$2,Materialedata[[#This Row],[Levetid]])=0,SUM(Materialedata[[#This Row],[A1-A3/m²]:[C4/m²]]),0))
))</f>
        <v>.</v>
      </c>
      <c r="CM9" s="141" t="str">
        <f>IF(CM$2&gt;Input_Tidshorisont,BlankTegn,IF(CM$2=0,SUM(Materialedata[[#This Row],[A1-A3/m²]:[A4/m²]]),
CL9+IF(CM$2=Input_Tidshorisont,SUM(Materialedata[[#This Row],[C3/m²]:[C4/m²]]),IF(MOD(CM$2,Materialedata[[#This Row],[Levetid]])=0,SUM(Materialedata[[#This Row],[A1-A3/m²]:[C4/m²]]),0))
))</f>
        <v>.</v>
      </c>
      <c r="CN9" s="141" t="str">
        <f>IF(CN$2&gt;Input_Tidshorisont,BlankTegn,IF(CN$2=0,SUM(Materialedata[[#This Row],[A1-A3/m²]:[A4/m²]]),
CM9+IF(CN$2=Input_Tidshorisont,SUM(Materialedata[[#This Row],[C3/m²]:[C4/m²]]),IF(MOD(CN$2,Materialedata[[#This Row],[Levetid]])=0,SUM(Materialedata[[#This Row],[A1-A3/m²]:[C4/m²]]),0))
))</f>
        <v>.</v>
      </c>
      <c r="CO9" s="141" t="str">
        <f>IF(CO$2&gt;Input_Tidshorisont,BlankTegn,IF(CO$2=0,SUM(Materialedata[[#This Row],[A1-A3/m²]:[A4/m²]]),
CN9+IF(CO$2=Input_Tidshorisont,SUM(Materialedata[[#This Row],[C3/m²]:[C4/m²]]),IF(MOD(CO$2,Materialedata[[#This Row],[Levetid]])=0,SUM(Materialedata[[#This Row],[A1-A3/m²]:[C4/m²]]),0))
))</f>
        <v>.</v>
      </c>
      <c r="CP9" s="141" t="str">
        <f>IF(CP$2&gt;Input_Tidshorisont,BlankTegn,IF(CP$2=0,SUM(Materialedata[[#This Row],[A1-A3/m²]:[A4/m²]]),
CO9+IF(CP$2=Input_Tidshorisont,SUM(Materialedata[[#This Row],[C3/m²]:[C4/m²]]),IF(MOD(CP$2,Materialedata[[#This Row],[Levetid]])=0,SUM(Materialedata[[#This Row],[A1-A3/m²]:[C4/m²]]),0))
))</f>
        <v>.</v>
      </c>
      <c r="CQ9" s="141" t="str">
        <f>IF(CQ$2&gt;Input_Tidshorisont,BlankTegn,IF(CQ$2=0,SUM(Materialedata[[#This Row],[A1-A3/m²]:[A4/m²]]),
CP9+IF(CQ$2=Input_Tidshorisont,SUM(Materialedata[[#This Row],[C3/m²]:[C4/m²]]),IF(MOD(CQ$2,Materialedata[[#This Row],[Levetid]])=0,SUM(Materialedata[[#This Row],[A1-A3/m²]:[C4/m²]]),0))
))</f>
        <v>.</v>
      </c>
      <c r="CR9" s="141" t="str">
        <f>IF(CR$2&gt;Input_Tidshorisont,BlankTegn,IF(CR$2=0,SUM(Materialedata[[#This Row],[A1-A3/m²]:[A4/m²]]),
CQ9+IF(CR$2=Input_Tidshorisont,SUM(Materialedata[[#This Row],[C3/m²]:[C4/m²]]),IF(MOD(CR$2,Materialedata[[#This Row],[Levetid]])=0,SUM(Materialedata[[#This Row],[A1-A3/m²]:[C4/m²]]),0))
))</f>
        <v>.</v>
      </c>
      <c r="CS9" s="141" t="str">
        <f>IF(CS$2&gt;Input_Tidshorisont,BlankTegn,IF(CS$2=0,SUM(Materialedata[[#This Row],[A1-A3/m²]:[A4/m²]]),
CR9+IF(CS$2=Input_Tidshorisont,SUM(Materialedata[[#This Row],[C3/m²]:[C4/m²]]),IF(MOD(CS$2,Materialedata[[#This Row],[Levetid]])=0,SUM(Materialedata[[#This Row],[A1-A3/m²]:[C4/m²]]),0))
))</f>
        <v>.</v>
      </c>
      <c r="CT9" s="141" t="str">
        <f>IF(CT$2&gt;Input_Tidshorisont,BlankTegn,IF(CT$2=0,SUM(Materialedata[[#This Row],[A1-A3/m²]:[A4/m²]]),
CS9+IF(CT$2=Input_Tidshorisont,SUM(Materialedata[[#This Row],[C3/m²]:[C4/m²]]),IF(MOD(CT$2,Materialedata[[#This Row],[Levetid]])=0,SUM(Materialedata[[#This Row],[A1-A3/m²]:[C4/m²]]),0))
))</f>
        <v>.</v>
      </c>
      <c r="CU9" s="141" t="str">
        <f>IF(CU$2&gt;Input_Tidshorisont,BlankTegn,IF(CU$2=0,SUM(Materialedata[[#This Row],[A1-A3/m²]:[A4/m²]]),
CT9+IF(CU$2=Input_Tidshorisont,SUM(Materialedata[[#This Row],[C3/m²]:[C4/m²]]),IF(MOD(CU$2,Materialedata[[#This Row],[Levetid]])=0,SUM(Materialedata[[#This Row],[A1-A3/m²]:[C4/m²]]),0))
))</f>
        <v>.</v>
      </c>
      <c r="CV9" s="141" t="str">
        <f>IF(CV$2&gt;Input_Tidshorisont,BlankTegn,IF(CV$2=0,SUM(Materialedata[[#This Row],[A1-A3/m²]:[A4/m²]]),
CU9+IF(CV$2=Input_Tidshorisont,SUM(Materialedata[[#This Row],[C3/m²]:[C4/m²]]),IF(MOD(CV$2,Materialedata[[#This Row],[Levetid]])=0,SUM(Materialedata[[#This Row],[A1-A3/m²]:[C4/m²]]),0))
))</f>
        <v>.</v>
      </c>
      <c r="CW9" s="141" t="str">
        <f>IF(CW$2&gt;Input_Tidshorisont,BlankTegn,IF(CW$2=0,SUM(Materialedata[[#This Row],[A1-A3/m²]:[A4/m²]]),
CV9+IF(CW$2=Input_Tidshorisont,SUM(Materialedata[[#This Row],[C3/m²]:[C4/m²]]),IF(MOD(CW$2,Materialedata[[#This Row],[Levetid]])=0,SUM(Materialedata[[#This Row],[A1-A3/m²]:[C4/m²]]),0))
))</f>
        <v>.</v>
      </c>
      <c r="CX9" s="141" t="str">
        <f>IF(CX$2&gt;Input_Tidshorisont,BlankTegn,IF(CX$2=0,SUM(Materialedata[[#This Row],[A1-A3/m²]:[A4/m²]]),
CW9+IF(CX$2=Input_Tidshorisont,SUM(Materialedata[[#This Row],[C3/m²]:[C4/m²]]),IF(MOD(CX$2,Materialedata[[#This Row],[Levetid]])=0,SUM(Materialedata[[#This Row],[A1-A3/m²]:[C4/m²]]),0))
))</f>
        <v>.</v>
      </c>
      <c r="CY9" s="141" t="str">
        <f>IF(CY$2&gt;Input_Tidshorisont,BlankTegn,IF(CY$2=0,SUM(Materialedata[[#This Row],[A1-A3/m²]:[A4/m²]]),
CX9+IF(CY$2=Input_Tidshorisont,SUM(Materialedata[[#This Row],[C3/m²]:[C4/m²]]),IF(MOD(CY$2,Materialedata[[#This Row],[Levetid]])=0,SUM(Materialedata[[#This Row],[A1-A3/m²]:[C4/m²]]),0))
))</f>
        <v>.</v>
      </c>
      <c r="CZ9" s="141" t="str">
        <f>IF(CZ$2&gt;Input_Tidshorisont,BlankTegn,IF(CZ$2=0,SUM(Materialedata[[#This Row],[A1-A3/m²]:[A4/m²]]),
CY9+IF(CZ$2=Input_Tidshorisont,SUM(Materialedata[[#This Row],[C3/m²]:[C4/m²]]),IF(MOD(CZ$2,Materialedata[[#This Row],[Levetid]])=0,SUM(Materialedata[[#This Row],[A1-A3/m²]:[C4/m²]]),0))
))</f>
        <v>.</v>
      </c>
      <c r="DA9" s="141" t="str">
        <f>IF(DA$2&gt;Input_Tidshorisont,BlankTegn,IF(DA$2=0,SUM(Materialedata[[#This Row],[A1-A3/m²]:[A4/m²]]),
CZ9+IF(DA$2=Input_Tidshorisont,SUM(Materialedata[[#This Row],[C3/m²]:[C4/m²]]),IF(MOD(DA$2,Materialedata[[#This Row],[Levetid]])=0,SUM(Materialedata[[#This Row],[A1-A3/m²]:[C4/m²]]),0))
))</f>
        <v>.</v>
      </c>
      <c r="DB9" s="141" t="str">
        <f>IF(DB$2&gt;Input_Tidshorisont,BlankTegn,IF(DB$2=0,SUM(Materialedata[[#This Row],[A1-A3/m²]:[A4/m²]]),
DA9+IF(DB$2=Input_Tidshorisont,SUM(Materialedata[[#This Row],[C3/m²]:[C4/m²]]),IF(MOD(DB$2,Materialedata[[#This Row],[Levetid]])=0,SUM(Materialedata[[#This Row],[A1-A3/m²]:[C4/m²]]),0))
))</f>
        <v>.</v>
      </c>
      <c r="DC9" s="141" t="str">
        <f>IF(DC$2&gt;Input_Tidshorisont,BlankTegn,IF(DC$2=0,SUM(Materialedata[[#This Row],[A1-A3/m²]:[A4/m²]]),
DB9+IF(DC$2=Input_Tidshorisont,SUM(Materialedata[[#This Row],[C3/m²]:[C4/m²]]),IF(MOD(DC$2,Materialedata[[#This Row],[Levetid]])=0,SUM(Materialedata[[#This Row],[A1-A3/m²]:[C4/m²]]),0))
))</f>
        <v>.</v>
      </c>
      <c r="DD9" s="141" t="str">
        <f>IF(DD$2&gt;Input_Tidshorisont,BlankTegn,IF(DD$2=0,SUM(Materialedata[[#This Row],[A1-A3/m²]:[A4/m²]]),
DC9+IF(DD$2=Input_Tidshorisont,SUM(Materialedata[[#This Row],[C3/m²]:[C4/m²]]),IF(MOD(DD$2,Materialedata[[#This Row],[Levetid]])=0,SUM(Materialedata[[#This Row],[A1-A3/m²]:[C4/m²]]),0))
))</f>
        <v>.</v>
      </c>
      <c r="DE9" s="141" t="str">
        <f>IF(DE$2&gt;Input_Tidshorisont,BlankTegn,IF(DE$2=0,SUM(Materialedata[[#This Row],[A1-A3/m²]:[A4/m²]]),
DD9+IF(DE$2=Input_Tidshorisont,SUM(Materialedata[[#This Row],[C3/m²]:[C4/m²]]),IF(MOD(DE$2,Materialedata[[#This Row],[Levetid]])=0,SUM(Materialedata[[#This Row],[A1-A3/m²]:[C4/m²]]),0))
))</f>
        <v>.</v>
      </c>
      <c r="DF9" s="141" t="str">
        <f>IF(DF$2&gt;Input_Tidshorisont,BlankTegn,IF(DF$2=0,SUM(Materialedata[[#This Row],[A1-A3/m²]:[A4/m²]]),
DE9+IF(DF$2=Input_Tidshorisont,SUM(Materialedata[[#This Row],[C3/m²]:[C4/m²]]),IF(MOD(DF$2,Materialedata[[#This Row],[Levetid]])=0,SUM(Materialedata[[#This Row],[A1-A3/m²]:[C4/m²]]),0))
))</f>
        <v>.</v>
      </c>
      <c r="DG9" s="141" t="str">
        <f>IF(DG$2&gt;Input_Tidshorisont,BlankTegn,IF(DG$2=0,SUM(Materialedata[[#This Row],[A1-A3/m²]:[A4/m²]]),
DF9+IF(DG$2=Input_Tidshorisont,SUM(Materialedata[[#This Row],[C3/m²]:[C4/m²]]),IF(MOD(DG$2,Materialedata[[#This Row],[Levetid]])=0,SUM(Materialedata[[#This Row],[A1-A3/m²]:[C4/m²]]),0))
))</f>
        <v>.</v>
      </c>
      <c r="DH9" s="141" t="str">
        <f>IF(DH$2&gt;Input_Tidshorisont,BlankTegn,IF(DH$2=0,SUM(Materialedata[[#This Row],[A1-A3/m²]:[A4/m²]]),
DG9+IF(DH$2=Input_Tidshorisont,SUM(Materialedata[[#This Row],[C3/m²]:[C4/m²]]),IF(MOD(DH$2,Materialedata[[#This Row],[Levetid]])=0,SUM(Materialedata[[#This Row],[A1-A3/m²]:[C4/m²]]),0))
))</f>
        <v>.</v>
      </c>
      <c r="DI9" s="141" t="str">
        <f>IF(DI$2&gt;Input_Tidshorisont,BlankTegn,IF(DI$2=0,SUM(Materialedata[[#This Row],[A1-A3/m²]:[A4/m²]]),
DH9+IF(DI$2=Input_Tidshorisont,SUM(Materialedata[[#This Row],[C3/m²]:[C4/m²]]),IF(MOD(DI$2,Materialedata[[#This Row],[Levetid]])=0,SUM(Materialedata[[#This Row],[A1-A3/m²]:[C4/m²]]),0))
))</f>
        <v>.</v>
      </c>
      <c r="DJ9" s="141" t="str">
        <f>IF(DJ$2&gt;Input_Tidshorisont,BlankTegn,IF(DJ$2=0,SUM(Materialedata[[#This Row],[A1-A3/m²]:[A4/m²]]),
DI9+IF(DJ$2=Input_Tidshorisont,SUM(Materialedata[[#This Row],[C3/m²]:[C4/m²]]),IF(MOD(DJ$2,Materialedata[[#This Row],[Levetid]])=0,SUM(Materialedata[[#This Row],[A1-A3/m²]:[C4/m²]]),0))
))</f>
        <v>.</v>
      </c>
      <c r="DK9" s="141" t="str">
        <f>IF(DK$2&gt;Input_Tidshorisont,BlankTegn,IF(DK$2=0,SUM(Materialedata[[#This Row],[A1-A3/m²]:[A4/m²]]),
DJ9+IF(DK$2=Input_Tidshorisont,SUM(Materialedata[[#This Row],[C3/m²]:[C4/m²]]),IF(MOD(DK$2,Materialedata[[#This Row],[Levetid]])=0,SUM(Materialedata[[#This Row],[A1-A3/m²]:[C4/m²]]),0))
))</f>
        <v>.</v>
      </c>
      <c r="DL9" s="141" t="str">
        <f>IF(DL$2&gt;Input_Tidshorisont,BlankTegn,IF(DL$2=0,SUM(Materialedata[[#This Row],[A1-A3/m²]:[A4/m²]]),
DK9+IF(DL$2=Input_Tidshorisont,SUM(Materialedata[[#This Row],[C3/m²]:[C4/m²]]),IF(MOD(DL$2,Materialedata[[#This Row],[Levetid]])=0,SUM(Materialedata[[#This Row],[A1-A3/m²]:[C4/m²]]),0))
))</f>
        <v>.</v>
      </c>
      <c r="DM9" s="19"/>
    </row>
    <row r="10" spans="1:117">
      <c r="A10" s="182" t="s">
        <v>33</v>
      </c>
      <c r="B10" s="182" t="s">
        <v>34</v>
      </c>
      <c r="C10" s="148"/>
      <c r="D10" s="180"/>
      <c r="E10" s="180" t="s">
        <v>308</v>
      </c>
      <c r="F10" s="182"/>
      <c r="G10" s="182">
        <v>50</v>
      </c>
      <c r="H10" s="183"/>
      <c r="I10" s="184">
        <f>8*1.4</f>
        <v>11.2</v>
      </c>
      <c r="J10" s="184" t="s">
        <v>101</v>
      </c>
      <c r="K10" s="182"/>
      <c r="L10" s="182"/>
      <c r="M10" s="311">
        <f>M4+M5</f>
        <v>0.222</v>
      </c>
      <c r="N10" s="182"/>
      <c r="O10" s="182"/>
      <c r="P10" s="182"/>
      <c r="Q10" s="283">
        <f>SUM(Q4:Q5)</f>
        <v>17.895199999999999</v>
      </c>
      <c r="R10" s="282">
        <f>SUM(R4:R5)</f>
        <v>3.04948</v>
      </c>
      <c r="S10" s="281">
        <f>SUM(S4:S5)</f>
        <v>0</v>
      </c>
      <c r="T10" s="281">
        <f>SUM(T4:T5)</f>
        <v>0.31407200000000002</v>
      </c>
      <c r="U10" s="281">
        <f>SUM(U4:U5)</f>
        <v>0</v>
      </c>
      <c r="V10" s="150">
        <f>IFERROR(INDEX(Range_Materiale_Genbrug,MATCH(Materialedata[[#This Row],[Komponent]],Facadekomponenter,0)),BlankTegn)</f>
        <v>0</v>
      </c>
      <c r="W10" s="150">
        <f>IFERROR(1-Materialedata[[#This Row],[Genbrug]],BlankTegn)</f>
        <v>1</v>
      </c>
      <c r="X10" s="186">
        <f>IFERROR(Materialedata[[#This Row],[A1-A3/m²_nyt]]*Materialedata[[#This Row],[Nyt]],BlankTegn)</f>
        <v>17.895199999999999</v>
      </c>
      <c r="Y10" s="186">
        <f>Materialedata[[#This Row],[A4/m²_nyt]]</f>
        <v>3.04948</v>
      </c>
      <c r="Z10" s="186">
        <f>IFERROR(Materialedata[[#This Row],[C3/m²_nyt]]*Materialedata[[#This Row],[Nyt]],BlankTegn)</f>
        <v>0</v>
      </c>
      <c r="AA10" s="186">
        <f>IFERROR(Materialedata[[#This Row],[C4/m²_nyt]]*Materialedata[[#This Row],[Nyt]],BlankTegn)</f>
        <v>0.31407200000000002</v>
      </c>
      <c r="AB10" s="186">
        <f>IFERROR(Materialedata[[#This Row],[D/m²_nyt]]*Materialedata[[#This Row],[Nyt]],BlankTegn)</f>
        <v>0</v>
      </c>
      <c r="AC10" s="187">
        <f>AC4+AC5</f>
        <v>1081.2594309246431</v>
      </c>
      <c r="AD10" s="188" t="s">
        <v>29</v>
      </c>
      <c r="AE10" s="182">
        <v>1</v>
      </c>
      <c r="AF10" s="189">
        <f>Materialedata[[#This Row],[Pris/enhed]]*Materialedata[[#This Row],[Omregning]]</f>
        <v>1081.2594309246431</v>
      </c>
      <c r="AG10" s="190">
        <f>AG4+AG5</f>
        <v>0.02</v>
      </c>
      <c r="AH10" s="191">
        <v>1</v>
      </c>
      <c r="AI10" s="162">
        <v>0</v>
      </c>
      <c r="AJ10" s="141">
        <f>IF(AJ$2&gt;Input_Tidshorisont,BlankTegn,IF(AJ$2=0,SUM(Materialedata[[#This Row],[A1-A3/m²]:[A4/m²]]),
AI10+IF(AJ$2=Input_Tidshorisont,SUM(Materialedata[[#This Row],[C3/m²]:[C4/m²]]),IF(MOD(AJ$2,Materialedata[[#This Row],[Levetid]])=0,SUM(Materialedata[[#This Row],[A1-A3/m²]:[C4/m²]]),0))
))</f>
        <v>20.944679999999998</v>
      </c>
      <c r="AK10" s="141">
        <f>IF(AK$2&gt;Input_Tidshorisont,BlankTegn,IF(AK$2=0,SUM(Materialedata[[#This Row],[A1-A3/m²]:[A4/m²]]),
AJ10+IF(AK$2=Input_Tidshorisont,SUM(Materialedata[[#This Row],[C3/m²]:[C4/m²]]),IF(MOD(AK$2,Materialedata[[#This Row],[Levetid]])=0,SUM(Materialedata[[#This Row],[A1-A3/m²]:[C4/m²]]),0))
))</f>
        <v>20.944679999999998</v>
      </c>
      <c r="AL10" s="141">
        <f>IF(AL$2&gt;Input_Tidshorisont,BlankTegn,IF(AL$2=0,SUM(Materialedata[[#This Row],[A1-A3/m²]:[A4/m²]]),
AK10+IF(AL$2=Input_Tidshorisont,SUM(Materialedata[[#This Row],[C3/m²]:[C4/m²]]),IF(MOD(AL$2,Materialedata[[#This Row],[Levetid]])=0,SUM(Materialedata[[#This Row],[A1-A3/m²]:[C4/m²]]),0))
))</f>
        <v>20.944679999999998</v>
      </c>
      <c r="AM10" s="141">
        <f>IF(AM$2&gt;Input_Tidshorisont,BlankTegn,IF(AM$2=0,SUM(Materialedata[[#This Row],[A1-A3/m²]:[A4/m²]]),
AL10+IF(AM$2=Input_Tidshorisont,SUM(Materialedata[[#This Row],[C3/m²]:[C4/m²]]),IF(MOD(AM$2,Materialedata[[#This Row],[Levetid]])=0,SUM(Materialedata[[#This Row],[A1-A3/m²]:[C4/m²]]),0))
))</f>
        <v>20.944679999999998</v>
      </c>
      <c r="AN10" s="141">
        <f>IF(AN$2&gt;Input_Tidshorisont,BlankTegn,IF(AN$2=0,SUM(Materialedata[[#This Row],[A1-A3/m²]:[A4/m²]]),
AM10+IF(AN$2=Input_Tidshorisont,SUM(Materialedata[[#This Row],[C3/m²]:[C4/m²]]),IF(MOD(AN$2,Materialedata[[#This Row],[Levetid]])=0,SUM(Materialedata[[#This Row],[A1-A3/m²]:[C4/m²]]),0))
))</f>
        <v>20.944679999999998</v>
      </c>
      <c r="AO10" s="141">
        <f>IF(AO$2&gt;Input_Tidshorisont,BlankTegn,IF(AO$2=0,SUM(Materialedata[[#This Row],[A1-A3/m²]:[A4/m²]]),
AN10+IF(AO$2=Input_Tidshorisont,SUM(Materialedata[[#This Row],[C3/m²]:[C4/m²]]),IF(MOD(AO$2,Materialedata[[#This Row],[Levetid]])=0,SUM(Materialedata[[#This Row],[A1-A3/m²]:[C4/m²]]),0))
))</f>
        <v>20.944679999999998</v>
      </c>
      <c r="AP10" s="141">
        <f>IF(AP$2&gt;Input_Tidshorisont,BlankTegn,IF(AP$2=0,SUM(Materialedata[[#This Row],[A1-A3/m²]:[A4/m²]]),
AO10+IF(AP$2=Input_Tidshorisont,SUM(Materialedata[[#This Row],[C3/m²]:[C4/m²]]),IF(MOD(AP$2,Materialedata[[#This Row],[Levetid]])=0,SUM(Materialedata[[#This Row],[A1-A3/m²]:[C4/m²]]),0))
))</f>
        <v>20.944679999999998</v>
      </c>
      <c r="AQ10" s="141">
        <f>IF(AQ$2&gt;Input_Tidshorisont,BlankTegn,IF(AQ$2=0,SUM(Materialedata[[#This Row],[A1-A3/m²]:[A4/m²]]),
AP10+IF(AQ$2=Input_Tidshorisont,SUM(Materialedata[[#This Row],[C3/m²]:[C4/m²]]),IF(MOD(AQ$2,Materialedata[[#This Row],[Levetid]])=0,SUM(Materialedata[[#This Row],[A1-A3/m²]:[C4/m²]]),0))
))</f>
        <v>20.944679999999998</v>
      </c>
      <c r="AR10" s="141">
        <f>IF(AR$2&gt;Input_Tidshorisont,BlankTegn,IF(AR$2=0,SUM(Materialedata[[#This Row],[A1-A3/m²]:[A4/m²]]),
AQ10+IF(AR$2=Input_Tidshorisont,SUM(Materialedata[[#This Row],[C3/m²]:[C4/m²]]),IF(MOD(AR$2,Materialedata[[#This Row],[Levetid]])=0,SUM(Materialedata[[#This Row],[A1-A3/m²]:[C4/m²]]),0))
))</f>
        <v>20.944679999999998</v>
      </c>
      <c r="AS10" s="141">
        <f>IF(AS$2&gt;Input_Tidshorisont,BlankTegn,IF(AS$2=0,SUM(Materialedata[[#This Row],[A1-A3/m²]:[A4/m²]]),
AR10+IF(AS$2=Input_Tidshorisont,SUM(Materialedata[[#This Row],[C3/m²]:[C4/m²]]),IF(MOD(AS$2,Materialedata[[#This Row],[Levetid]])=0,SUM(Materialedata[[#This Row],[A1-A3/m²]:[C4/m²]]),0))
))</f>
        <v>20.944679999999998</v>
      </c>
      <c r="AT10" s="141">
        <f>IF(AT$2&gt;Input_Tidshorisont,BlankTegn,IF(AT$2=0,SUM(Materialedata[[#This Row],[A1-A3/m²]:[A4/m²]]),
AS10+IF(AT$2=Input_Tidshorisont,SUM(Materialedata[[#This Row],[C3/m²]:[C4/m²]]),IF(MOD(AT$2,Materialedata[[#This Row],[Levetid]])=0,SUM(Materialedata[[#This Row],[A1-A3/m²]:[C4/m²]]),0))
))</f>
        <v>20.944679999999998</v>
      </c>
      <c r="AU10" s="141">
        <f>IF(AU$2&gt;Input_Tidshorisont,BlankTegn,IF(AU$2=0,SUM(Materialedata[[#This Row],[A1-A3/m²]:[A4/m²]]),
AT10+IF(AU$2=Input_Tidshorisont,SUM(Materialedata[[#This Row],[C3/m²]:[C4/m²]]),IF(MOD(AU$2,Materialedata[[#This Row],[Levetid]])=0,SUM(Materialedata[[#This Row],[A1-A3/m²]:[C4/m²]]),0))
))</f>
        <v>20.944679999999998</v>
      </c>
      <c r="AV10" s="141">
        <f>IF(AV$2&gt;Input_Tidshorisont,BlankTegn,IF(AV$2=0,SUM(Materialedata[[#This Row],[A1-A3/m²]:[A4/m²]]),
AU10+IF(AV$2=Input_Tidshorisont,SUM(Materialedata[[#This Row],[C3/m²]:[C4/m²]]),IF(MOD(AV$2,Materialedata[[#This Row],[Levetid]])=0,SUM(Materialedata[[#This Row],[A1-A3/m²]:[C4/m²]]),0))
))</f>
        <v>20.944679999999998</v>
      </c>
      <c r="AW10" s="141">
        <f>IF(AW$2&gt;Input_Tidshorisont,BlankTegn,IF(AW$2=0,SUM(Materialedata[[#This Row],[A1-A3/m²]:[A4/m²]]),
AV10+IF(AW$2=Input_Tidshorisont,SUM(Materialedata[[#This Row],[C3/m²]:[C4/m²]]),IF(MOD(AW$2,Materialedata[[#This Row],[Levetid]])=0,SUM(Materialedata[[#This Row],[A1-A3/m²]:[C4/m²]]),0))
))</f>
        <v>20.944679999999998</v>
      </c>
      <c r="AX10" s="141">
        <f>IF(AX$2&gt;Input_Tidshorisont,BlankTegn,IF(AX$2=0,SUM(Materialedata[[#This Row],[A1-A3/m²]:[A4/m²]]),
AW10+IF(AX$2=Input_Tidshorisont,SUM(Materialedata[[#This Row],[C3/m²]:[C4/m²]]),IF(MOD(AX$2,Materialedata[[#This Row],[Levetid]])=0,SUM(Materialedata[[#This Row],[A1-A3/m²]:[C4/m²]]),0))
))</f>
        <v>20.944679999999998</v>
      </c>
      <c r="AY10" s="141">
        <f>IF(AY$2&gt;Input_Tidshorisont,BlankTegn,IF(AY$2=0,SUM(Materialedata[[#This Row],[A1-A3/m²]:[A4/m²]]),
AX10+IF(AY$2=Input_Tidshorisont,SUM(Materialedata[[#This Row],[C3/m²]:[C4/m²]]),IF(MOD(AY$2,Materialedata[[#This Row],[Levetid]])=0,SUM(Materialedata[[#This Row],[A1-A3/m²]:[C4/m²]]),0))
))</f>
        <v>20.944679999999998</v>
      </c>
      <c r="AZ10" s="141">
        <f>IF(AZ$2&gt;Input_Tidshorisont,BlankTegn,IF(AZ$2=0,SUM(Materialedata[[#This Row],[A1-A3/m²]:[A4/m²]]),
AY10+IF(AZ$2=Input_Tidshorisont,SUM(Materialedata[[#This Row],[C3/m²]:[C4/m²]]),IF(MOD(AZ$2,Materialedata[[#This Row],[Levetid]])=0,SUM(Materialedata[[#This Row],[A1-A3/m²]:[C4/m²]]),0))
))</f>
        <v>20.944679999999998</v>
      </c>
      <c r="BA10" s="141">
        <f>IF(BA$2&gt;Input_Tidshorisont,BlankTegn,IF(BA$2=0,SUM(Materialedata[[#This Row],[A1-A3/m²]:[A4/m²]]),
AZ10+IF(BA$2=Input_Tidshorisont,SUM(Materialedata[[#This Row],[C3/m²]:[C4/m²]]),IF(MOD(BA$2,Materialedata[[#This Row],[Levetid]])=0,SUM(Materialedata[[#This Row],[A1-A3/m²]:[C4/m²]]),0))
))</f>
        <v>20.944679999999998</v>
      </c>
      <c r="BB10" s="141">
        <f>IF(BB$2&gt;Input_Tidshorisont,BlankTegn,IF(BB$2=0,SUM(Materialedata[[#This Row],[A1-A3/m²]:[A4/m²]]),
BA10+IF(BB$2=Input_Tidshorisont,SUM(Materialedata[[#This Row],[C3/m²]:[C4/m²]]),IF(MOD(BB$2,Materialedata[[#This Row],[Levetid]])=0,SUM(Materialedata[[#This Row],[A1-A3/m²]:[C4/m²]]),0))
))</f>
        <v>20.944679999999998</v>
      </c>
      <c r="BC10" s="141">
        <f>IF(BC$2&gt;Input_Tidshorisont,BlankTegn,IF(BC$2=0,SUM(Materialedata[[#This Row],[A1-A3/m²]:[A4/m²]]),
BB10+IF(BC$2=Input_Tidshorisont,SUM(Materialedata[[#This Row],[C3/m²]:[C4/m²]]),IF(MOD(BC$2,Materialedata[[#This Row],[Levetid]])=0,SUM(Materialedata[[#This Row],[A1-A3/m²]:[C4/m²]]),0))
))</f>
        <v>20.944679999999998</v>
      </c>
      <c r="BD10" s="141">
        <f>IF(BD$2&gt;Input_Tidshorisont,BlankTegn,IF(BD$2=0,SUM(Materialedata[[#This Row],[A1-A3/m²]:[A4/m²]]),
BC10+IF(BD$2=Input_Tidshorisont,SUM(Materialedata[[#This Row],[C3/m²]:[C4/m²]]),IF(MOD(BD$2,Materialedata[[#This Row],[Levetid]])=0,SUM(Materialedata[[#This Row],[A1-A3/m²]:[C4/m²]]),0))
))</f>
        <v>20.944679999999998</v>
      </c>
      <c r="BE10" s="141">
        <f>IF(BE$2&gt;Input_Tidshorisont,BlankTegn,IF(BE$2=0,SUM(Materialedata[[#This Row],[A1-A3/m²]:[A4/m²]]),
BD10+IF(BE$2=Input_Tidshorisont,SUM(Materialedata[[#This Row],[C3/m²]:[C4/m²]]),IF(MOD(BE$2,Materialedata[[#This Row],[Levetid]])=0,SUM(Materialedata[[#This Row],[A1-A3/m²]:[C4/m²]]),0))
))</f>
        <v>20.944679999999998</v>
      </c>
      <c r="BF10" s="141">
        <f>IF(BF$2&gt;Input_Tidshorisont,BlankTegn,IF(BF$2=0,SUM(Materialedata[[#This Row],[A1-A3/m²]:[A4/m²]]),
BE10+IF(BF$2=Input_Tidshorisont,SUM(Materialedata[[#This Row],[C3/m²]:[C4/m²]]),IF(MOD(BF$2,Materialedata[[#This Row],[Levetid]])=0,SUM(Materialedata[[#This Row],[A1-A3/m²]:[C4/m²]]),0))
))</f>
        <v>20.944679999999998</v>
      </c>
      <c r="BG10" s="141">
        <f>IF(BG$2&gt;Input_Tidshorisont,BlankTegn,IF(BG$2=0,SUM(Materialedata[[#This Row],[A1-A3/m²]:[A4/m²]]),
BF10+IF(BG$2=Input_Tidshorisont,SUM(Materialedata[[#This Row],[C3/m²]:[C4/m²]]),IF(MOD(BG$2,Materialedata[[#This Row],[Levetid]])=0,SUM(Materialedata[[#This Row],[A1-A3/m²]:[C4/m²]]),0))
))</f>
        <v>20.944679999999998</v>
      </c>
      <c r="BH10" s="141">
        <f>IF(BH$2&gt;Input_Tidshorisont,BlankTegn,IF(BH$2=0,SUM(Materialedata[[#This Row],[A1-A3/m²]:[A4/m²]]),
BG10+IF(BH$2=Input_Tidshorisont,SUM(Materialedata[[#This Row],[C3/m²]:[C4/m²]]),IF(MOD(BH$2,Materialedata[[#This Row],[Levetid]])=0,SUM(Materialedata[[#This Row],[A1-A3/m²]:[C4/m²]]),0))
))</f>
        <v>20.944679999999998</v>
      </c>
      <c r="BI10" s="141">
        <f>IF(BI$2&gt;Input_Tidshorisont,BlankTegn,IF(BI$2=0,SUM(Materialedata[[#This Row],[A1-A3/m²]:[A4/m²]]),
BH10+IF(BI$2=Input_Tidshorisont,SUM(Materialedata[[#This Row],[C3/m²]:[C4/m²]]),IF(MOD(BI$2,Materialedata[[#This Row],[Levetid]])=0,SUM(Materialedata[[#This Row],[A1-A3/m²]:[C4/m²]]),0))
))</f>
        <v>20.944679999999998</v>
      </c>
      <c r="BJ10" s="141">
        <f>IF(BJ$2&gt;Input_Tidshorisont,BlankTegn,IF(BJ$2=0,SUM(Materialedata[[#This Row],[A1-A3/m²]:[A4/m²]]),
BI10+IF(BJ$2=Input_Tidshorisont,SUM(Materialedata[[#This Row],[C3/m²]:[C4/m²]]),IF(MOD(BJ$2,Materialedata[[#This Row],[Levetid]])=0,SUM(Materialedata[[#This Row],[A1-A3/m²]:[C4/m²]]),0))
))</f>
        <v>20.944679999999998</v>
      </c>
      <c r="BK10" s="141">
        <f>IF(BK$2&gt;Input_Tidshorisont,BlankTegn,IF(BK$2=0,SUM(Materialedata[[#This Row],[A1-A3/m²]:[A4/m²]]),
BJ10+IF(BK$2=Input_Tidshorisont,SUM(Materialedata[[#This Row],[C3/m²]:[C4/m²]]),IF(MOD(BK$2,Materialedata[[#This Row],[Levetid]])=0,SUM(Materialedata[[#This Row],[A1-A3/m²]:[C4/m²]]),0))
))</f>
        <v>20.944679999999998</v>
      </c>
      <c r="BL10" s="141">
        <f>IF(BL$2&gt;Input_Tidshorisont,BlankTegn,IF(BL$2=0,SUM(Materialedata[[#This Row],[A1-A3/m²]:[A4/m²]]),
BK10+IF(BL$2=Input_Tidshorisont,SUM(Materialedata[[#This Row],[C3/m²]:[C4/m²]]),IF(MOD(BL$2,Materialedata[[#This Row],[Levetid]])=0,SUM(Materialedata[[#This Row],[A1-A3/m²]:[C4/m²]]),0))
))</f>
        <v>20.944679999999998</v>
      </c>
      <c r="BM10" s="141">
        <f>IF(BM$2&gt;Input_Tidshorisont,BlankTegn,IF(BM$2=0,SUM(Materialedata[[#This Row],[A1-A3/m²]:[A4/m²]]),
BL10+IF(BM$2=Input_Tidshorisont,SUM(Materialedata[[#This Row],[C3/m²]:[C4/m²]]),IF(MOD(BM$2,Materialedata[[#This Row],[Levetid]])=0,SUM(Materialedata[[#This Row],[A1-A3/m²]:[C4/m²]]),0))
))</f>
        <v>20.944679999999998</v>
      </c>
      <c r="BN10" s="141">
        <f>IF(BN$2&gt;Input_Tidshorisont,BlankTegn,IF(BN$2=0,SUM(Materialedata[[#This Row],[A1-A3/m²]:[A4/m²]]),
BM10+IF(BN$2=Input_Tidshorisont,SUM(Materialedata[[#This Row],[C3/m²]:[C4/m²]]),IF(MOD(BN$2,Materialedata[[#This Row],[Levetid]])=0,SUM(Materialedata[[#This Row],[A1-A3/m²]:[C4/m²]]),0))
))</f>
        <v>20.944679999999998</v>
      </c>
      <c r="BO10" s="141">
        <f>IF(BO$2&gt;Input_Tidshorisont,BlankTegn,IF(BO$2=0,SUM(Materialedata[[#This Row],[A1-A3/m²]:[A4/m²]]),
BN10+IF(BO$2=Input_Tidshorisont,SUM(Materialedata[[#This Row],[C3/m²]:[C4/m²]]),IF(MOD(BO$2,Materialedata[[#This Row],[Levetid]])=0,SUM(Materialedata[[#This Row],[A1-A3/m²]:[C4/m²]]),0))
))</f>
        <v>20.944679999999998</v>
      </c>
      <c r="BP10" s="141">
        <f>IF(BP$2&gt;Input_Tidshorisont,BlankTegn,IF(BP$2=0,SUM(Materialedata[[#This Row],[A1-A3/m²]:[A4/m²]]),
BO10+IF(BP$2=Input_Tidshorisont,SUM(Materialedata[[#This Row],[C3/m²]:[C4/m²]]),IF(MOD(BP$2,Materialedata[[#This Row],[Levetid]])=0,SUM(Materialedata[[#This Row],[A1-A3/m²]:[C4/m²]]),0))
))</f>
        <v>20.944679999999998</v>
      </c>
      <c r="BQ10" s="141">
        <f>IF(BQ$2&gt;Input_Tidshorisont,BlankTegn,IF(BQ$2=0,SUM(Materialedata[[#This Row],[A1-A3/m²]:[A4/m²]]),
BP10+IF(BQ$2=Input_Tidshorisont,SUM(Materialedata[[#This Row],[C3/m²]:[C4/m²]]),IF(MOD(BQ$2,Materialedata[[#This Row],[Levetid]])=0,SUM(Materialedata[[#This Row],[A1-A3/m²]:[C4/m²]]),0))
))</f>
        <v>20.944679999999998</v>
      </c>
      <c r="BR10" s="141">
        <f>IF(BR$2&gt;Input_Tidshorisont,BlankTegn,IF(BR$2=0,SUM(Materialedata[[#This Row],[A1-A3/m²]:[A4/m²]]),
BQ10+IF(BR$2=Input_Tidshorisont,SUM(Materialedata[[#This Row],[C3/m²]:[C4/m²]]),IF(MOD(BR$2,Materialedata[[#This Row],[Levetid]])=0,SUM(Materialedata[[#This Row],[A1-A3/m²]:[C4/m²]]),0))
))</f>
        <v>20.944679999999998</v>
      </c>
      <c r="BS10" s="141">
        <f>IF(BS$2&gt;Input_Tidshorisont,BlankTegn,IF(BS$2=0,SUM(Materialedata[[#This Row],[A1-A3/m²]:[A4/m²]]),
BR10+IF(BS$2=Input_Tidshorisont,SUM(Materialedata[[#This Row],[C3/m²]:[C4/m²]]),IF(MOD(BS$2,Materialedata[[#This Row],[Levetid]])=0,SUM(Materialedata[[#This Row],[A1-A3/m²]:[C4/m²]]),0))
))</f>
        <v>20.944679999999998</v>
      </c>
      <c r="BT10" s="141">
        <f>IF(BT$2&gt;Input_Tidshorisont,BlankTegn,IF(BT$2=0,SUM(Materialedata[[#This Row],[A1-A3/m²]:[A4/m²]]),
BS10+IF(BT$2=Input_Tidshorisont,SUM(Materialedata[[#This Row],[C3/m²]:[C4/m²]]),IF(MOD(BT$2,Materialedata[[#This Row],[Levetid]])=0,SUM(Materialedata[[#This Row],[A1-A3/m²]:[C4/m²]]),0))
))</f>
        <v>20.944679999999998</v>
      </c>
      <c r="BU10" s="141">
        <f>IF(BU$2&gt;Input_Tidshorisont,BlankTegn,IF(BU$2=0,SUM(Materialedata[[#This Row],[A1-A3/m²]:[A4/m²]]),
BT10+IF(BU$2=Input_Tidshorisont,SUM(Materialedata[[#This Row],[C3/m²]:[C4/m²]]),IF(MOD(BU$2,Materialedata[[#This Row],[Levetid]])=0,SUM(Materialedata[[#This Row],[A1-A3/m²]:[C4/m²]]),0))
))</f>
        <v>20.944679999999998</v>
      </c>
      <c r="BV10" s="141">
        <f>IF(BV$2&gt;Input_Tidshorisont,BlankTegn,IF(BV$2=0,SUM(Materialedata[[#This Row],[A1-A3/m²]:[A4/m²]]),
BU10+IF(BV$2=Input_Tidshorisont,SUM(Materialedata[[#This Row],[C3/m²]:[C4/m²]]),IF(MOD(BV$2,Materialedata[[#This Row],[Levetid]])=0,SUM(Materialedata[[#This Row],[A1-A3/m²]:[C4/m²]]),0))
))</f>
        <v>20.944679999999998</v>
      </c>
      <c r="BW10" s="141">
        <f>IF(BW$2&gt;Input_Tidshorisont,BlankTegn,IF(BW$2=0,SUM(Materialedata[[#This Row],[A1-A3/m²]:[A4/m²]]),
BV10+IF(BW$2=Input_Tidshorisont,SUM(Materialedata[[#This Row],[C3/m²]:[C4/m²]]),IF(MOD(BW$2,Materialedata[[#This Row],[Levetid]])=0,SUM(Materialedata[[#This Row],[A1-A3/m²]:[C4/m²]]),0))
))</f>
        <v>20.944679999999998</v>
      </c>
      <c r="BX10" s="141">
        <f>IF(BX$2&gt;Input_Tidshorisont,BlankTegn,IF(BX$2=0,SUM(Materialedata[[#This Row],[A1-A3/m²]:[A4/m²]]),
BW10+IF(BX$2=Input_Tidshorisont,SUM(Materialedata[[#This Row],[C3/m²]:[C4/m²]]),IF(MOD(BX$2,Materialedata[[#This Row],[Levetid]])=0,SUM(Materialedata[[#This Row],[A1-A3/m²]:[C4/m²]]),0))
))</f>
        <v>20.944679999999998</v>
      </c>
      <c r="BY10" s="141">
        <f>IF(BY$2&gt;Input_Tidshorisont,BlankTegn,IF(BY$2=0,SUM(Materialedata[[#This Row],[A1-A3/m²]:[A4/m²]]),
BX10+IF(BY$2=Input_Tidshorisont,SUM(Materialedata[[#This Row],[C3/m²]:[C4/m²]]),IF(MOD(BY$2,Materialedata[[#This Row],[Levetid]])=0,SUM(Materialedata[[#This Row],[A1-A3/m²]:[C4/m²]]),0))
))</f>
        <v>20.944679999999998</v>
      </c>
      <c r="BZ10" s="141">
        <f>IF(BZ$2&gt;Input_Tidshorisont,BlankTegn,IF(BZ$2=0,SUM(Materialedata[[#This Row],[A1-A3/m²]:[A4/m²]]),
BY10+IF(BZ$2=Input_Tidshorisont,SUM(Materialedata[[#This Row],[C3/m²]:[C4/m²]]),IF(MOD(BZ$2,Materialedata[[#This Row],[Levetid]])=0,SUM(Materialedata[[#This Row],[A1-A3/m²]:[C4/m²]]),0))
))</f>
        <v>20.944679999999998</v>
      </c>
      <c r="CA10" s="141">
        <f>IF(CA$2&gt;Input_Tidshorisont,BlankTegn,IF(CA$2=0,SUM(Materialedata[[#This Row],[A1-A3/m²]:[A4/m²]]),
BZ10+IF(CA$2=Input_Tidshorisont,SUM(Materialedata[[#This Row],[C3/m²]:[C4/m²]]),IF(MOD(CA$2,Materialedata[[#This Row],[Levetid]])=0,SUM(Materialedata[[#This Row],[A1-A3/m²]:[C4/m²]]),0))
))</f>
        <v>20.944679999999998</v>
      </c>
      <c r="CB10" s="141">
        <f>IF(CB$2&gt;Input_Tidshorisont,BlankTegn,IF(CB$2=0,SUM(Materialedata[[#This Row],[A1-A3/m²]:[A4/m²]]),
CA10+IF(CB$2=Input_Tidshorisont,SUM(Materialedata[[#This Row],[C3/m²]:[C4/m²]]),IF(MOD(CB$2,Materialedata[[#This Row],[Levetid]])=0,SUM(Materialedata[[#This Row],[A1-A3/m²]:[C4/m²]]),0))
))</f>
        <v>20.944679999999998</v>
      </c>
      <c r="CC10" s="141">
        <f>IF(CC$2&gt;Input_Tidshorisont,BlankTegn,IF(CC$2=0,SUM(Materialedata[[#This Row],[A1-A3/m²]:[A4/m²]]),
CB10+IF(CC$2=Input_Tidshorisont,SUM(Materialedata[[#This Row],[C3/m²]:[C4/m²]]),IF(MOD(CC$2,Materialedata[[#This Row],[Levetid]])=0,SUM(Materialedata[[#This Row],[A1-A3/m²]:[C4/m²]]),0))
))</f>
        <v>20.944679999999998</v>
      </c>
      <c r="CD10" s="141">
        <f>IF(CD$2&gt;Input_Tidshorisont,BlankTegn,IF(CD$2=0,SUM(Materialedata[[#This Row],[A1-A3/m²]:[A4/m²]]),
CC10+IF(CD$2=Input_Tidshorisont,SUM(Materialedata[[#This Row],[C3/m²]:[C4/m²]]),IF(MOD(CD$2,Materialedata[[#This Row],[Levetid]])=0,SUM(Materialedata[[#This Row],[A1-A3/m²]:[C4/m²]]),0))
))</f>
        <v>20.944679999999998</v>
      </c>
      <c r="CE10" s="141">
        <f>IF(CE$2&gt;Input_Tidshorisont,BlankTegn,IF(CE$2=0,SUM(Materialedata[[#This Row],[A1-A3/m²]:[A4/m²]]),
CD10+IF(CE$2=Input_Tidshorisont,SUM(Materialedata[[#This Row],[C3/m²]:[C4/m²]]),IF(MOD(CE$2,Materialedata[[#This Row],[Levetid]])=0,SUM(Materialedata[[#This Row],[A1-A3/m²]:[C4/m²]]),0))
))</f>
        <v>20.944679999999998</v>
      </c>
      <c r="CF10" s="141">
        <f>IF(CF$2&gt;Input_Tidshorisont,BlankTegn,IF(CF$2=0,SUM(Materialedata[[#This Row],[A1-A3/m²]:[A4/m²]]),
CE10+IF(CF$2=Input_Tidshorisont,SUM(Materialedata[[#This Row],[C3/m²]:[C4/m²]]),IF(MOD(CF$2,Materialedata[[#This Row],[Levetid]])=0,SUM(Materialedata[[#This Row],[A1-A3/m²]:[C4/m²]]),0))
))</f>
        <v>20.944679999999998</v>
      </c>
      <c r="CG10" s="141">
        <f>IF(CG$2&gt;Input_Tidshorisont,BlankTegn,IF(CG$2=0,SUM(Materialedata[[#This Row],[A1-A3/m²]:[A4/m²]]),
CF10+IF(CG$2=Input_Tidshorisont,SUM(Materialedata[[#This Row],[C3/m²]:[C4/m²]]),IF(MOD(CG$2,Materialedata[[#This Row],[Levetid]])=0,SUM(Materialedata[[#This Row],[A1-A3/m²]:[C4/m²]]),0))
))</f>
        <v>20.944679999999998</v>
      </c>
      <c r="CH10" s="141">
        <f>IF(CH$2&gt;Input_Tidshorisont,BlankTegn,IF(CH$2=0,SUM(Materialedata[[#This Row],[A1-A3/m²]:[A4/m²]]),
CG10+IF(CH$2=Input_Tidshorisont,SUM(Materialedata[[#This Row],[C3/m²]:[C4/m²]]),IF(MOD(CH$2,Materialedata[[#This Row],[Levetid]])=0,SUM(Materialedata[[#This Row],[A1-A3/m²]:[C4/m²]]),0))
))</f>
        <v>21.258751999999998</v>
      </c>
      <c r="CI10" s="141" t="str">
        <f>IF(CI$2&gt;Input_Tidshorisont,BlankTegn,IF(CI$2=0,SUM(Materialedata[[#This Row],[A1-A3/m²]:[A4/m²]]),
CH10+IF(CI$2=Input_Tidshorisont,SUM(Materialedata[[#This Row],[C3/m²]:[C4/m²]]),IF(MOD(CI$2,Materialedata[[#This Row],[Levetid]])=0,SUM(Materialedata[[#This Row],[A1-A3/m²]:[C4/m²]]),0))
))</f>
        <v>.</v>
      </c>
      <c r="CJ10" s="141" t="str">
        <f>IF(CJ$2&gt;Input_Tidshorisont,BlankTegn,IF(CJ$2=0,SUM(Materialedata[[#This Row],[A1-A3/m²]:[A4/m²]]),
CI10+IF(CJ$2=Input_Tidshorisont,SUM(Materialedata[[#This Row],[C3/m²]:[C4/m²]]),IF(MOD(CJ$2,Materialedata[[#This Row],[Levetid]])=0,SUM(Materialedata[[#This Row],[A1-A3/m²]:[C4/m²]]),0))
))</f>
        <v>.</v>
      </c>
      <c r="CK10" s="141" t="str">
        <f>IF(CK$2&gt;Input_Tidshorisont,BlankTegn,IF(CK$2=0,SUM(Materialedata[[#This Row],[A1-A3/m²]:[A4/m²]]),
CJ10+IF(CK$2=Input_Tidshorisont,SUM(Materialedata[[#This Row],[C3/m²]:[C4/m²]]),IF(MOD(CK$2,Materialedata[[#This Row],[Levetid]])=0,SUM(Materialedata[[#This Row],[A1-A3/m²]:[C4/m²]]),0))
))</f>
        <v>.</v>
      </c>
      <c r="CL10" s="141" t="str">
        <f>IF(CL$2&gt;Input_Tidshorisont,BlankTegn,IF(CL$2=0,SUM(Materialedata[[#This Row],[A1-A3/m²]:[A4/m²]]),
CK10+IF(CL$2=Input_Tidshorisont,SUM(Materialedata[[#This Row],[C3/m²]:[C4/m²]]),IF(MOD(CL$2,Materialedata[[#This Row],[Levetid]])=0,SUM(Materialedata[[#This Row],[A1-A3/m²]:[C4/m²]]),0))
))</f>
        <v>.</v>
      </c>
      <c r="CM10" s="141" t="str">
        <f>IF(CM$2&gt;Input_Tidshorisont,BlankTegn,IF(CM$2=0,SUM(Materialedata[[#This Row],[A1-A3/m²]:[A4/m²]]),
CL10+IF(CM$2=Input_Tidshorisont,SUM(Materialedata[[#This Row],[C3/m²]:[C4/m²]]),IF(MOD(CM$2,Materialedata[[#This Row],[Levetid]])=0,SUM(Materialedata[[#This Row],[A1-A3/m²]:[C4/m²]]),0))
))</f>
        <v>.</v>
      </c>
      <c r="CN10" s="141" t="str">
        <f>IF(CN$2&gt;Input_Tidshorisont,BlankTegn,IF(CN$2=0,SUM(Materialedata[[#This Row],[A1-A3/m²]:[A4/m²]]),
CM10+IF(CN$2=Input_Tidshorisont,SUM(Materialedata[[#This Row],[C3/m²]:[C4/m²]]),IF(MOD(CN$2,Materialedata[[#This Row],[Levetid]])=0,SUM(Materialedata[[#This Row],[A1-A3/m²]:[C4/m²]]),0))
))</f>
        <v>.</v>
      </c>
      <c r="CO10" s="141" t="str">
        <f>IF(CO$2&gt;Input_Tidshorisont,BlankTegn,IF(CO$2=0,SUM(Materialedata[[#This Row],[A1-A3/m²]:[A4/m²]]),
CN10+IF(CO$2=Input_Tidshorisont,SUM(Materialedata[[#This Row],[C3/m²]:[C4/m²]]),IF(MOD(CO$2,Materialedata[[#This Row],[Levetid]])=0,SUM(Materialedata[[#This Row],[A1-A3/m²]:[C4/m²]]),0))
))</f>
        <v>.</v>
      </c>
      <c r="CP10" s="141" t="str">
        <f>IF(CP$2&gt;Input_Tidshorisont,BlankTegn,IF(CP$2=0,SUM(Materialedata[[#This Row],[A1-A3/m²]:[A4/m²]]),
CO10+IF(CP$2=Input_Tidshorisont,SUM(Materialedata[[#This Row],[C3/m²]:[C4/m²]]),IF(MOD(CP$2,Materialedata[[#This Row],[Levetid]])=0,SUM(Materialedata[[#This Row],[A1-A3/m²]:[C4/m²]]),0))
))</f>
        <v>.</v>
      </c>
      <c r="CQ10" s="141" t="str">
        <f>IF(CQ$2&gt;Input_Tidshorisont,BlankTegn,IF(CQ$2=0,SUM(Materialedata[[#This Row],[A1-A3/m²]:[A4/m²]]),
CP10+IF(CQ$2=Input_Tidshorisont,SUM(Materialedata[[#This Row],[C3/m²]:[C4/m²]]),IF(MOD(CQ$2,Materialedata[[#This Row],[Levetid]])=0,SUM(Materialedata[[#This Row],[A1-A3/m²]:[C4/m²]]),0))
))</f>
        <v>.</v>
      </c>
      <c r="CR10" s="141" t="str">
        <f>IF(CR$2&gt;Input_Tidshorisont,BlankTegn,IF(CR$2=0,SUM(Materialedata[[#This Row],[A1-A3/m²]:[A4/m²]]),
CQ10+IF(CR$2=Input_Tidshorisont,SUM(Materialedata[[#This Row],[C3/m²]:[C4/m²]]),IF(MOD(CR$2,Materialedata[[#This Row],[Levetid]])=0,SUM(Materialedata[[#This Row],[A1-A3/m²]:[C4/m²]]),0))
))</f>
        <v>.</v>
      </c>
      <c r="CS10" s="141" t="str">
        <f>IF(CS$2&gt;Input_Tidshorisont,BlankTegn,IF(CS$2=0,SUM(Materialedata[[#This Row],[A1-A3/m²]:[A4/m²]]),
CR10+IF(CS$2=Input_Tidshorisont,SUM(Materialedata[[#This Row],[C3/m²]:[C4/m²]]),IF(MOD(CS$2,Materialedata[[#This Row],[Levetid]])=0,SUM(Materialedata[[#This Row],[A1-A3/m²]:[C4/m²]]),0))
))</f>
        <v>.</v>
      </c>
      <c r="CT10" s="141" t="str">
        <f>IF(CT$2&gt;Input_Tidshorisont,BlankTegn,IF(CT$2=0,SUM(Materialedata[[#This Row],[A1-A3/m²]:[A4/m²]]),
CS10+IF(CT$2=Input_Tidshorisont,SUM(Materialedata[[#This Row],[C3/m²]:[C4/m²]]),IF(MOD(CT$2,Materialedata[[#This Row],[Levetid]])=0,SUM(Materialedata[[#This Row],[A1-A3/m²]:[C4/m²]]),0))
))</f>
        <v>.</v>
      </c>
      <c r="CU10" s="141" t="str">
        <f>IF(CU$2&gt;Input_Tidshorisont,BlankTegn,IF(CU$2=0,SUM(Materialedata[[#This Row],[A1-A3/m²]:[A4/m²]]),
CT10+IF(CU$2=Input_Tidshorisont,SUM(Materialedata[[#This Row],[C3/m²]:[C4/m²]]),IF(MOD(CU$2,Materialedata[[#This Row],[Levetid]])=0,SUM(Materialedata[[#This Row],[A1-A3/m²]:[C4/m²]]),0))
))</f>
        <v>.</v>
      </c>
      <c r="CV10" s="141" t="str">
        <f>IF(CV$2&gt;Input_Tidshorisont,BlankTegn,IF(CV$2=0,SUM(Materialedata[[#This Row],[A1-A3/m²]:[A4/m²]]),
CU10+IF(CV$2=Input_Tidshorisont,SUM(Materialedata[[#This Row],[C3/m²]:[C4/m²]]),IF(MOD(CV$2,Materialedata[[#This Row],[Levetid]])=0,SUM(Materialedata[[#This Row],[A1-A3/m²]:[C4/m²]]),0))
))</f>
        <v>.</v>
      </c>
      <c r="CW10" s="141" t="str">
        <f>IF(CW$2&gt;Input_Tidshorisont,BlankTegn,IF(CW$2=0,SUM(Materialedata[[#This Row],[A1-A3/m²]:[A4/m²]]),
CV10+IF(CW$2=Input_Tidshorisont,SUM(Materialedata[[#This Row],[C3/m²]:[C4/m²]]),IF(MOD(CW$2,Materialedata[[#This Row],[Levetid]])=0,SUM(Materialedata[[#This Row],[A1-A3/m²]:[C4/m²]]),0))
))</f>
        <v>.</v>
      </c>
      <c r="CX10" s="141" t="str">
        <f>IF(CX$2&gt;Input_Tidshorisont,BlankTegn,IF(CX$2=0,SUM(Materialedata[[#This Row],[A1-A3/m²]:[A4/m²]]),
CW10+IF(CX$2=Input_Tidshorisont,SUM(Materialedata[[#This Row],[C3/m²]:[C4/m²]]),IF(MOD(CX$2,Materialedata[[#This Row],[Levetid]])=0,SUM(Materialedata[[#This Row],[A1-A3/m²]:[C4/m²]]),0))
))</f>
        <v>.</v>
      </c>
      <c r="CY10" s="141" t="str">
        <f>IF(CY$2&gt;Input_Tidshorisont,BlankTegn,IF(CY$2=0,SUM(Materialedata[[#This Row],[A1-A3/m²]:[A4/m²]]),
CX10+IF(CY$2=Input_Tidshorisont,SUM(Materialedata[[#This Row],[C3/m²]:[C4/m²]]),IF(MOD(CY$2,Materialedata[[#This Row],[Levetid]])=0,SUM(Materialedata[[#This Row],[A1-A3/m²]:[C4/m²]]),0))
))</f>
        <v>.</v>
      </c>
      <c r="CZ10" s="141" t="str">
        <f>IF(CZ$2&gt;Input_Tidshorisont,BlankTegn,IF(CZ$2=0,SUM(Materialedata[[#This Row],[A1-A3/m²]:[A4/m²]]),
CY10+IF(CZ$2=Input_Tidshorisont,SUM(Materialedata[[#This Row],[C3/m²]:[C4/m²]]),IF(MOD(CZ$2,Materialedata[[#This Row],[Levetid]])=0,SUM(Materialedata[[#This Row],[A1-A3/m²]:[C4/m²]]),0))
))</f>
        <v>.</v>
      </c>
      <c r="DA10" s="141" t="str">
        <f>IF(DA$2&gt;Input_Tidshorisont,BlankTegn,IF(DA$2=0,SUM(Materialedata[[#This Row],[A1-A3/m²]:[A4/m²]]),
CZ10+IF(DA$2=Input_Tidshorisont,SUM(Materialedata[[#This Row],[C3/m²]:[C4/m²]]),IF(MOD(DA$2,Materialedata[[#This Row],[Levetid]])=0,SUM(Materialedata[[#This Row],[A1-A3/m²]:[C4/m²]]),0))
))</f>
        <v>.</v>
      </c>
      <c r="DB10" s="141" t="str">
        <f>IF(DB$2&gt;Input_Tidshorisont,BlankTegn,IF(DB$2=0,SUM(Materialedata[[#This Row],[A1-A3/m²]:[A4/m²]]),
DA10+IF(DB$2=Input_Tidshorisont,SUM(Materialedata[[#This Row],[C3/m²]:[C4/m²]]),IF(MOD(DB$2,Materialedata[[#This Row],[Levetid]])=0,SUM(Materialedata[[#This Row],[A1-A3/m²]:[C4/m²]]),0))
))</f>
        <v>.</v>
      </c>
      <c r="DC10" s="141" t="str">
        <f>IF(DC$2&gt;Input_Tidshorisont,BlankTegn,IF(DC$2=0,SUM(Materialedata[[#This Row],[A1-A3/m²]:[A4/m²]]),
DB10+IF(DC$2=Input_Tidshorisont,SUM(Materialedata[[#This Row],[C3/m²]:[C4/m²]]),IF(MOD(DC$2,Materialedata[[#This Row],[Levetid]])=0,SUM(Materialedata[[#This Row],[A1-A3/m²]:[C4/m²]]),0))
))</f>
        <v>.</v>
      </c>
      <c r="DD10" s="141" t="str">
        <f>IF(DD$2&gt;Input_Tidshorisont,BlankTegn,IF(DD$2=0,SUM(Materialedata[[#This Row],[A1-A3/m²]:[A4/m²]]),
DC10+IF(DD$2=Input_Tidshorisont,SUM(Materialedata[[#This Row],[C3/m²]:[C4/m²]]),IF(MOD(DD$2,Materialedata[[#This Row],[Levetid]])=0,SUM(Materialedata[[#This Row],[A1-A3/m²]:[C4/m²]]),0))
))</f>
        <v>.</v>
      </c>
      <c r="DE10" s="141" t="str">
        <f>IF(DE$2&gt;Input_Tidshorisont,BlankTegn,IF(DE$2=0,SUM(Materialedata[[#This Row],[A1-A3/m²]:[A4/m²]]),
DD10+IF(DE$2=Input_Tidshorisont,SUM(Materialedata[[#This Row],[C3/m²]:[C4/m²]]),IF(MOD(DE$2,Materialedata[[#This Row],[Levetid]])=0,SUM(Materialedata[[#This Row],[A1-A3/m²]:[C4/m²]]),0))
))</f>
        <v>.</v>
      </c>
      <c r="DF10" s="141" t="str">
        <f>IF(DF$2&gt;Input_Tidshorisont,BlankTegn,IF(DF$2=0,SUM(Materialedata[[#This Row],[A1-A3/m²]:[A4/m²]]),
DE10+IF(DF$2=Input_Tidshorisont,SUM(Materialedata[[#This Row],[C3/m²]:[C4/m²]]),IF(MOD(DF$2,Materialedata[[#This Row],[Levetid]])=0,SUM(Materialedata[[#This Row],[A1-A3/m²]:[C4/m²]]),0))
))</f>
        <v>.</v>
      </c>
      <c r="DG10" s="141" t="str">
        <f>IF(DG$2&gt;Input_Tidshorisont,BlankTegn,IF(DG$2=0,SUM(Materialedata[[#This Row],[A1-A3/m²]:[A4/m²]]),
DF10+IF(DG$2=Input_Tidshorisont,SUM(Materialedata[[#This Row],[C3/m²]:[C4/m²]]),IF(MOD(DG$2,Materialedata[[#This Row],[Levetid]])=0,SUM(Materialedata[[#This Row],[A1-A3/m²]:[C4/m²]]),0))
))</f>
        <v>.</v>
      </c>
      <c r="DH10" s="141" t="str">
        <f>IF(DH$2&gt;Input_Tidshorisont,BlankTegn,IF(DH$2=0,SUM(Materialedata[[#This Row],[A1-A3/m²]:[A4/m²]]),
DG10+IF(DH$2=Input_Tidshorisont,SUM(Materialedata[[#This Row],[C3/m²]:[C4/m²]]),IF(MOD(DH$2,Materialedata[[#This Row],[Levetid]])=0,SUM(Materialedata[[#This Row],[A1-A3/m²]:[C4/m²]]),0))
))</f>
        <v>.</v>
      </c>
      <c r="DI10" s="141" t="str">
        <f>IF(DI$2&gt;Input_Tidshorisont,BlankTegn,IF(DI$2=0,SUM(Materialedata[[#This Row],[A1-A3/m²]:[A4/m²]]),
DH10+IF(DI$2=Input_Tidshorisont,SUM(Materialedata[[#This Row],[C3/m²]:[C4/m²]]),IF(MOD(DI$2,Materialedata[[#This Row],[Levetid]])=0,SUM(Materialedata[[#This Row],[A1-A3/m²]:[C4/m²]]),0))
))</f>
        <v>.</v>
      </c>
      <c r="DJ10" s="141" t="str">
        <f>IF(DJ$2&gt;Input_Tidshorisont,BlankTegn,IF(DJ$2=0,SUM(Materialedata[[#This Row],[A1-A3/m²]:[A4/m²]]),
DI10+IF(DJ$2=Input_Tidshorisont,SUM(Materialedata[[#This Row],[C3/m²]:[C4/m²]]),IF(MOD(DJ$2,Materialedata[[#This Row],[Levetid]])=0,SUM(Materialedata[[#This Row],[A1-A3/m²]:[C4/m²]]),0))
))</f>
        <v>.</v>
      </c>
      <c r="DK10" s="141" t="str">
        <f>IF(DK$2&gt;Input_Tidshorisont,BlankTegn,IF(DK$2=0,SUM(Materialedata[[#This Row],[A1-A3/m²]:[A4/m²]]),
DJ10+IF(DK$2=Input_Tidshorisont,SUM(Materialedata[[#This Row],[C3/m²]:[C4/m²]]),IF(MOD(DK$2,Materialedata[[#This Row],[Levetid]])=0,SUM(Materialedata[[#This Row],[A1-A3/m²]:[C4/m²]]),0))
))</f>
        <v>.</v>
      </c>
      <c r="DL10" s="141" t="str">
        <f>IF(DL$2&gt;Input_Tidshorisont,BlankTegn,IF(DL$2=0,SUM(Materialedata[[#This Row],[A1-A3/m²]:[A4/m²]]),
DK10+IF(DL$2=Input_Tidshorisont,SUM(Materialedata[[#This Row],[C3/m²]:[C4/m²]]),IF(MOD(DL$2,Materialedata[[#This Row],[Levetid]])=0,SUM(Materialedata[[#This Row],[A1-A3/m²]:[C4/m²]]),0))
))</f>
        <v>.</v>
      </c>
      <c r="DM10" s="19"/>
    </row>
    <row r="11" spans="1:117" ht="60">
      <c r="A11" s="182" t="s">
        <v>42</v>
      </c>
      <c r="B11" s="182" t="s">
        <v>143</v>
      </c>
      <c r="C11" s="148" t="s">
        <v>144</v>
      </c>
      <c r="D11" s="149" t="s">
        <v>277</v>
      </c>
      <c r="E11" s="180" t="s">
        <v>309</v>
      </c>
      <c r="F11" s="182" t="s">
        <v>140</v>
      </c>
      <c r="G11" s="182">
        <v>120</v>
      </c>
      <c r="H11" s="183">
        <v>500</v>
      </c>
      <c r="I11" s="193">
        <f>(0.05*0.2*2)/1.2*Materialedata[[#This Row],[Densitet]]</f>
        <v>8.3333333333333357</v>
      </c>
      <c r="J11" s="184" t="s">
        <v>101</v>
      </c>
      <c r="K11" s="182">
        <v>-610</v>
      </c>
      <c r="L11" s="182" t="s">
        <v>206</v>
      </c>
      <c r="M11" s="185">
        <f>IF(ISBLANK(Materialedata[[#This Row],[A4-gruppe]]),BlankTegn,INDEX(Byggeproces[GWP],MATCH(Materialedata[[#This Row],[A4-gruppe]],Byggeproces[Gruppe/Undergruppe],0)))</f>
        <v>7.4000000000000003E-3</v>
      </c>
      <c r="N11" s="182">
        <v>743</v>
      </c>
      <c r="O11" s="182">
        <v>0</v>
      </c>
      <c r="P11" s="182">
        <v>-395</v>
      </c>
      <c r="Q11" s="279">
        <f>Materialedata[[#This Row],[A1-A3/standardenhed]]*Materialedata[[#This Row],[Mængde/m²]]/Materialedata[[#This Row],[Densitet]]</f>
        <v>-10.16666666666667</v>
      </c>
      <c r="R11" s="276" cm="1">
        <f t="array" ref="R11">IFERROR(_xlfn.IFS(Materialedata[[#This Row],[Mængde-enhed]]="kg/m²",Materialedata[[#This Row],[A4/kg]]*Materialedata[[#This Row],[Mængde/m²]],Materialedata[[#This Row],[Mængde-enhed]]="m³/m²",Materialedata[[#This Row],[A4/kg]]*Materialedata[[#This Row],[Mængde/m²]]*Materialedata[[#This Row],[Densitet]]),"N/A")</f>
        <v>6.1666666666666689E-2</v>
      </c>
      <c r="S11" s="188">
        <f>Materialedata[[#This Row],[C3/enhed]]*Materialedata[[#This Row],[Mængde/m²]]/Materialedata[[#This Row],[Densitet]]</f>
        <v>12.383333333333338</v>
      </c>
      <c r="T11" s="188">
        <f>Materialedata[[#This Row],[C4/enhed]]*Materialedata[[#This Row],[Mængde/m²]]/Materialedata[[#This Row],[Densitet]]</f>
        <v>0</v>
      </c>
      <c r="U11" s="188">
        <f>Materialedata[[#This Row],[D/enhed]]*Materialedata[[#This Row],[Mængde/m²]]/Materialedata[[#This Row],[Densitet]]</f>
        <v>-6.5833333333333348</v>
      </c>
      <c r="V11" s="150">
        <f>IFERROR(INDEX(Range_Materiale_Genbrug,MATCH(Materialedata[[#This Row],[Komponent]],Facadekomponenter,0)),BlankTegn)</f>
        <v>0</v>
      </c>
      <c r="W11" s="150">
        <f>IFERROR(1-Materialedata[[#This Row],[Genbrug]],BlankTegn)</f>
        <v>1</v>
      </c>
      <c r="X11" s="186">
        <f>IFERROR(Materialedata[[#This Row],[A1-A3/m²_nyt]]*Materialedata[[#This Row],[Nyt]],BlankTegn)</f>
        <v>-10.16666666666667</v>
      </c>
      <c r="Y11" s="186">
        <f>Materialedata[[#This Row],[A4/m²_nyt]]</f>
        <v>6.1666666666666689E-2</v>
      </c>
      <c r="Z11" s="186">
        <f>IFERROR(Materialedata[[#This Row],[C3/m²_nyt]]*Materialedata[[#This Row],[Nyt]],BlankTegn)</f>
        <v>12.383333333333338</v>
      </c>
      <c r="AA11" s="186">
        <f>IFERROR(Materialedata[[#This Row],[C4/m²_nyt]]*Materialedata[[#This Row],[Nyt]],BlankTegn)</f>
        <v>0</v>
      </c>
      <c r="AB11" s="186">
        <f>IFERROR(Materialedata[[#This Row],[D/m²_nyt]]*Materialedata[[#This Row],[Nyt]],BlankTegn)</f>
        <v>-6.5833333333333348</v>
      </c>
      <c r="AC11" s="187">
        <v>174.76</v>
      </c>
      <c r="AD11" s="188" t="s">
        <v>338</v>
      </c>
      <c r="AE11" s="277">
        <f>1/0.6</f>
        <v>1.6666666666666667</v>
      </c>
      <c r="AF11" s="189">
        <f>Materialedata[[#This Row],[Pris/enhed]]*Materialedata[[#This Row],[Omregning]]</f>
        <v>291.26666666666665</v>
      </c>
      <c r="AG11" s="190">
        <v>0.02</v>
      </c>
      <c r="AH11" s="191">
        <v>1</v>
      </c>
      <c r="AI11" s="162">
        <v>0</v>
      </c>
      <c r="AJ11" s="141">
        <f>IF(AJ$2&gt;Input_Tidshorisont,BlankTegn,IF(AJ$2=0,SUM(Materialedata[[#This Row],[A1-A3/m²]:[A4/m²]]),
AI11+IF(AJ$2=Input_Tidshorisont,SUM(Materialedata[[#This Row],[C3/m²]:[C4/m²]]),IF(MOD(AJ$2,Materialedata[[#This Row],[Levetid]])=0,SUM(Materialedata[[#This Row],[A1-A3/m²]:[C4/m²]]),0))
))</f>
        <v>-10.105000000000002</v>
      </c>
      <c r="AK11" s="141">
        <f>IF(AK$2&gt;Input_Tidshorisont,BlankTegn,IF(AK$2=0,SUM(Materialedata[[#This Row],[A1-A3/m²]:[A4/m²]]),
AJ11+IF(AK$2=Input_Tidshorisont,SUM(Materialedata[[#This Row],[C3/m²]:[C4/m²]]),IF(MOD(AK$2,Materialedata[[#This Row],[Levetid]])=0,SUM(Materialedata[[#This Row],[A1-A3/m²]:[C4/m²]]),0))
))</f>
        <v>-10.105000000000002</v>
      </c>
      <c r="AL11" s="141">
        <f>IF(AL$2&gt;Input_Tidshorisont,BlankTegn,IF(AL$2=0,SUM(Materialedata[[#This Row],[A1-A3/m²]:[A4/m²]]),
AK11+IF(AL$2=Input_Tidshorisont,SUM(Materialedata[[#This Row],[C3/m²]:[C4/m²]]),IF(MOD(AL$2,Materialedata[[#This Row],[Levetid]])=0,SUM(Materialedata[[#This Row],[A1-A3/m²]:[C4/m²]]),0))
))</f>
        <v>-10.105000000000002</v>
      </c>
      <c r="AM11" s="141">
        <f>IF(AM$2&gt;Input_Tidshorisont,BlankTegn,IF(AM$2=0,SUM(Materialedata[[#This Row],[A1-A3/m²]:[A4/m²]]),
AL11+IF(AM$2=Input_Tidshorisont,SUM(Materialedata[[#This Row],[C3/m²]:[C4/m²]]),IF(MOD(AM$2,Materialedata[[#This Row],[Levetid]])=0,SUM(Materialedata[[#This Row],[A1-A3/m²]:[C4/m²]]),0))
))</f>
        <v>-10.105000000000002</v>
      </c>
      <c r="AN11" s="141">
        <f>IF(AN$2&gt;Input_Tidshorisont,BlankTegn,IF(AN$2=0,SUM(Materialedata[[#This Row],[A1-A3/m²]:[A4/m²]]),
AM11+IF(AN$2=Input_Tidshorisont,SUM(Materialedata[[#This Row],[C3/m²]:[C4/m²]]),IF(MOD(AN$2,Materialedata[[#This Row],[Levetid]])=0,SUM(Materialedata[[#This Row],[A1-A3/m²]:[C4/m²]]),0))
))</f>
        <v>-10.105000000000002</v>
      </c>
      <c r="AO11" s="141">
        <f>IF(AO$2&gt;Input_Tidshorisont,BlankTegn,IF(AO$2=0,SUM(Materialedata[[#This Row],[A1-A3/m²]:[A4/m²]]),
AN11+IF(AO$2=Input_Tidshorisont,SUM(Materialedata[[#This Row],[C3/m²]:[C4/m²]]),IF(MOD(AO$2,Materialedata[[#This Row],[Levetid]])=0,SUM(Materialedata[[#This Row],[A1-A3/m²]:[C4/m²]]),0))
))</f>
        <v>-10.105000000000002</v>
      </c>
      <c r="AP11" s="141">
        <f>IF(AP$2&gt;Input_Tidshorisont,BlankTegn,IF(AP$2=0,SUM(Materialedata[[#This Row],[A1-A3/m²]:[A4/m²]]),
AO11+IF(AP$2=Input_Tidshorisont,SUM(Materialedata[[#This Row],[C3/m²]:[C4/m²]]),IF(MOD(AP$2,Materialedata[[#This Row],[Levetid]])=0,SUM(Materialedata[[#This Row],[A1-A3/m²]:[C4/m²]]),0))
))</f>
        <v>-10.105000000000002</v>
      </c>
      <c r="AQ11" s="141">
        <f>IF(AQ$2&gt;Input_Tidshorisont,BlankTegn,IF(AQ$2=0,SUM(Materialedata[[#This Row],[A1-A3/m²]:[A4/m²]]),
AP11+IF(AQ$2=Input_Tidshorisont,SUM(Materialedata[[#This Row],[C3/m²]:[C4/m²]]),IF(MOD(AQ$2,Materialedata[[#This Row],[Levetid]])=0,SUM(Materialedata[[#This Row],[A1-A3/m²]:[C4/m²]]),0))
))</f>
        <v>-10.105000000000002</v>
      </c>
      <c r="AR11" s="141">
        <f>IF(AR$2&gt;Input_Tidshorisont,BlankTegn,IF(AR$2=0,SUM(Materialedata[[#This Row],[A1-A3/m²]:[A4/m²]]),
AQ11+IF(AR$2=Input_Tidshorisont,SUM(Materialedata[[#This Row],[C3/m²]:[C4/m²]]),IF(MOD(AR$2,Materialedata[[#This Row],[Levetid]])=0,SUM(Materialedata[[#This Row],[A1-A3/m²]:[C4/m²]]),0))
))</f>
        <v>-10.105000000000002</v>
      </c>
      <c r="AS11" s="141">
        <f>IF(AS$2&gt;Input_Tidshorisont,BlankTegn,IF(AS$2=0,SUM(Materialedata[[#This Row],[A1-A3/m²]:[A4/m²]]),
AR11+IF(AS$2=Input_Tidshorisont,SUM(Materialedata[[#This Row],[C3/m²]:[C4/m²]]),IF(MOD(AS$2,Materialedata[[#This Row],[Levetid]])=0,SUM(Materialedata[[#This Row],[A1-A3/m²]:[C4/m²]]),0))
))</f>
        <v>-10.105000000000002</v>
      </c>
      <c r="AT11" s="141">
        <f>IF(AT$2&gt;Input_Tidshorisont,BlankTegn,IF(AT$2=0,SUM(Materialedata[[#This Row],[A1-A3/m²]:[A4/m²]]),
AS11+IF(AT$2=Input_Tidshorisont,SUM(Materialedata[[#This Row],[C3/m²]:[C4/m²]]),IF(MOD(AT$2,Materialedata[[#This Row],[Levetid]])=0,SUM(Materialedata[[#This Row],[A1-A3/m²]:[C4/m²]]),0))
))</f>
        <v>-10.105000000000002</v>
      </c>
      <c r="AU11" s="141">
        <f>IF(AU$2&gt;Input_Tidshorisont,BlankTegn,IF(AU$2=0,SUM(Materialedata[[#This Row],[A1-A3/m²]:[A4/m²]]),
AT11+IF(AU$2=Input_Tidshorisont,SUM(Materialedata[[#This Row],[C3/m²]:[C4/m²]]),IF(MOD(AU$2,Materialedata[[#This Row],[Levetid]])=0,SUM(Materialedata[[#This Row],[A1-A3/m²]:[C4/m²]]),0))
))</f>
        <v>-10.105000000000002</v>
      </c>
      <c r="AV11" s="141">
        <f>IF(AV$2&gt;Input_Tidshorisont,BlankTegn,IF(AV$2=0,SUM(Materialedata[[#This Row],[A1-A3/m²]:[A4/m²]]),
AU11+IF(AV$2=Input_Tidshorisont,SUM(Materialedata[[#This Row],[C3/m²]:[C4/m²]]),IF(MOD(AV$2,Materialedata[[#This Row],[Levetid]])=0,SUM(Materialedata[[#This Row],[A1-A3/m²]:[C4/m²]]),0))
))</f>
        <v>-10.105000000000002</v>
      </c>
      <c r="AW11" s="141">
        <f>IF(AW$2&gt;Input_Tidshorisont,BlankTegn,IF(AW$2=0,SUM(Materialedata[[#This Row],[A1-A3/m²]:[A4/m²]]),
AV11+IF(AW$2=Input_Tidshorisont,SUM(Materialedata[[#This Row],[C3/m²]:[C4/m²]]),IF(MOD(AW$2,Materialedata[[#This Row],[Levetid]])=0,SUM(Materialedata[[#This Row],[A1-A3/m²]:[C4/m²]]),0))
))</f>
        <v>-10.105000000000002</v>
      </c>
      <c r="AX11" s="141">
        <f>IF(AX$2&gt;Input_Tidshorisont,BlankTegn,IF(AX$2=0,SUM(Materialedata[[#This Row],[A1-A3/m²]:[A4/m²]]),
AW11+IF(AX$2=Input_Tidshorisont,SUM(Materialedata[[#This Row],[C3/m²]:[C4/m²]]),IF(MOD(AX$2,Materialedata[[#This Row],[Levetid]])=0,SUM(Materialedata[[#This Row],[A1-A3/m²]:[C4/m²]]),0))
))</f>
        <v>-10.105000000000002</v>
      </c>
      <c r="AY11" s="141">
        <f>IF(AY$2&gt;Input_Tidshorisont,BlankTegn,IF(AY$2=0,SUM(Materialedata[[#This Row],[A1-A3/m²]:[A4/m²]]),
AX11+IF(AY$2=Input_Tidshorisont,SUM(Materialedata[[#This Row],[C3/m²]:[C4/m²]]),IF(MOD(AY$2,Materialedata[[#This Row],[Levetid]])=0,SUM(Materialedata[[#This Row],[A1-A3/m²]:[C4/m²]]),0))
))</f>
        <v>-10.105000000000002</v>
      </c>
      <c r="AZ11" s="141">
        <f>IF(AZ$2&gt;Input_Tidshorisont,BlankTegn,IF(AZ$2=0,SUM(Materialedata[[#This Row],[A1-A3/m²]:[A4/m²]]),
AY11+IF(AZ$2=Input_Tidshorisont,SUM(Materialedata[[#This Row],[C3/m²]:[C4/m²]]),IF(MOD(AZ$2,Materialedata[[#This Row],[Levetid]])=0,SUM(Materialedata[[#This Row],[A1-A3/m²]:[C4/m²]]),0))
))</f>
        <v>-10.105000000000002</v>
      </c>
      <c r="BA11" s="141">
        <f>IF(BA$2&gt;Input_Tidshorisont,BlankTegn,IF(BA$2=0,SUM(Materialedata[[#This Row],[A1-A3/m²]:[A4/m²]]),
AZ11+IF(BA$2=Input_Tidshorisont,SUM(Materialedata[[#This Row],[C3/m²]:[C4/m²]]),IF(MOD(BA$2,Materialedata[[#This Row],[Levetid]])=0,SUM(Materialedata[[#This Row],[A1-A3/m²]:[C4/m²]]),0))
))</f>
        <v>-10.105000000000002</v>
      </c>
      <c r="BB11" s="141">
        <f>IF(BB$2&gt;Input_Tidshorisont,BlankTegn,IF(BB$2=0,SUM(Materialedata[[#This Row],[A1-A3/m²]:[A4/m²]]),
BA11+IF(BB$2=Input_Tidshorisont,SUM(Materialedata[[#This Row],[C3/m²]:[C4/m²]]),IF(MOD(BB$2,Materialedata[[#This Row],[Levetid]])=0,SUM(Materialedata[[#This Row],[A1-A3/m²]:[C4/m²]]),0))
))</f>
        <v>-10.105000000000002</v>
      </c>
      <c r="BC11" s="141">
        <f>IF(BC$2&gt;Input_Tidshorisont,BlankTegn,IF(BC$2=0,SUM(Materialedata[[#This Row],[A1-A3/m²]:[A4/m²]]),
BB11+IF(BC$2=Input_Tidshorisont,SUM(Materialedata[[#This Row],[C3/m²]:[C4/m²]]),IF(MOD(BC$2,Materialedata[[#This Row],[Levetid]])=0,SUM(Materialedata[[#This Row],[A1-A3/m²]:[C4/m²]]),0))
))</f>
        <v>-10.105000000000002</v>
      </c>
      <c r="BD11" s="141">
        <f>IF(BD$2&gt;Input_Tidshorisont,BlankTegn,IF(BD$2=0,SUM(Materialedata[[#This Row],[A1-A3/m²]:[A4/m²]]),
BC11+IF(BD$2=Input_Tidshorisont,SUM(Materialedata[[#This Row],[C3/m²]:[C4/m²]]),IF(MOD(BD$2,Materialedata[[#This Row],[Levetid]])=0,SUM(Materialedata[[#This Row],[A1-A3/m²]:[C4/m²]]),0))
))</f>
        <v>-10.105000000000002</v>
      </c>
      <c r="BE11" s="141">
        <f>IF(BE$2&gt;Input_Tidshorisont,BlankTegn,IF(BE$2=0,SUM(Materialedata[[#This Row],[A1-A3/m²]:[A4/m²]]),
BD11+IF(BE$2=Input_Tidshorisont,SUM(Materialedata[[#This Row],[C3/m²]:[C4/m²]]),IF(MOD(BE$2,Materialedata[[#This Row],[Levetid]])=0,SUM(Materialedata[[#This Row],[A1-A3/m²]:[C4/m²]]),0))
))</f>
        <v>-10.105000000000002</v>
      </c>
      <c r="BF11" s="141">
        <f>IF(BF$2&gt;Input_Tidshorisont,BlankTegn,IF(BF$2=0,SUM(Materialedata[[#This Row],[A1-A3/m²]:[A4/m²]]),
BE11+IF(BF$2=Input_Tidshorisont,SUM(Materialedata[[#This Row],[C3/m²]:[C4/m²]]),IF(MOD(BF$2,Materialedata[[#This Row],[Levetid]])=0,SUM(Materialedata[[#This Row],[A1-A3/m²]:[C4/m²]]),0))
))</f>
        <v>-10.105000000000002</v>
      </c>
      <c r="BG11" s="141">
        <f>IF(BG$2&gt;Input_Tidshorisont,BlankTegn,IF(BG$2=0,SUM(Materialedata[[#This Row],[A1-A3/m²]:[A4/m²]]),
BF11+IF(BG$2=Input_Tidshorisont,SUM(Materialedata[[#This Row],[C3/m²]:[C4/m²]]),IF(MOD(BG$2,Materialedata[[#This Row],[Levetid]])=0,SUM(Materialedata[[#This Row],[A1-A3/m²]:[C4/m²]]),0))
))</f>
        <v>-10.105000000000002</v>
      </c>
      <c r="BH11" s="141">
        <f>IF(BH$2&gt;Input_Tidshorisont,BlankTegn,IF(BH$2=0,SUM(Materialedata[[#This Row],[A1-A3/m²]:[A4/m²]]),
BG11+IF(BH$2=Input_Tidshorisont,SUM(Materialedata[[#This Row],[C3/m²]:[C4/m²]]),IF(MOD(BH$2,Materialedata[[#This Row],[Levetid]])=0,SUM(Materialedata[[#This Row],[A1-A3/m²]:[C4/m²]]),0))
))</f>
        <v>-10.105000000000002</v>
      </c>
      <c r="BI11" s="141">
        <f>IF(BI$2&gt;Input_Tidshorisont,BlankTegn,IF(BI$2=0,SUM(Materialedata[[#This Row],[A1-A3/m²]:[A4/m²]]),
BH11+IF(BI$2=Input_Tidshorisont,SUM(Materialedata[[#This Row],[C3/m²]:[C4/m²]]),IF(MOD(BI$2,Materialedata[[#This Row],[Levetid]])=0,SUM(Materialedata[[#This Row],[A1-A3/m²]:[C4/m²]]),0))
))</f>
        <v>-10.105000000000002</v>
      </c>
      <c r="BJ11" s="141">
        <f>IF(BJ$2&gt;Input_Tidshorisont,BlankTegn,IF(BJ$2=0,SUM(Materialedata[[#This Row],[A1-A3/m²]:[A4/m²]]),
BI11+IF(BJ$2=Input_Tidshorisont,SUM(Materialedata[[#This Row],[C3/m²]:[C4/m²]]),IF(MOD(BJ$2,Materialedata[[#This Row],[Levetid]])=0,SUM(Materialedata[[#This Row],[A1-A3/m²]:[C4/m²]]),0))
))</f>
        <v>-10.105000000000002</v>
      </c>
      <c r="BK11" s="141">
        <f>IF(BK$2&gt;Input_Tidshorisont,BlankTegn,IF(BK$2=0,SUM(Materialedata[[#This Row],[A1-A3/m²]:[A4/m²]]),
BJ11+IF(BK$2=Input_Tidshorisont,SUM(Materialedata[[#This Row],[C3/m²]:[C4/m²]]),IF(MOD(BK$2,Materialedata[[#This Row],[Levetid]])=0,SUM(Materialedata[[#This Row],[A1-A3/m²]:[C4/m²]]),0))
))</f>
        <v>-10.105000000000002</v>
      </c>
      <c r="BL11" s="141">
        <f>IF(BL$2&gt;Input_Tidshorisont,BlankTegn,IF(BL$2=0,SUM(Materialedata[[#This Row],[A1-A3/m²]:[A4/m²]]),
BK11+IF(BL$2=Input_Tidshorisont,SUM(Materialedata[[#This Row],[C3/m²]:[C4/m²]]),IF(MOD(BL$2,Materialedata[[#This Row],[Levetid]])=0,SUM(Materialedata[[#This Row],[A1-A3/m²]:[C4/m²]]),0))
))</f>
        <v>-10.105000000000002</v>
      </c>
      <c r="BM11" s="141">
        <f>IF(BM$2&gt;Input_Tidshorisont,BlankTegn,IF(BM$2=0,SUM(Materialedata[[#This Row],[A1-A3/m²]:[A4/m²]]),
BL11+IF(BM$2=Input_Tidshorisont,SUM(Materialedata[[#This Row],[C3/m²]:[C4/m²]]),IF(MOD(BM$2,Materialedata[[#This Row],[Levetid]])=0,SUM(Materialedata[[#This Row],[A1-A3/m²]:[C4/m²]]),0))
))</f>
        <v>-10.105000000000002</v>
      </c>
      <c r="BN11" s="141">
        <f>IF(BN$2&gt;Input_Tidshorisont,BlankTegn,IF(BN$2=0,SUM(Materialedata[[#This Row],[A1-A3/m²]:[A4/m²]]),
BM11+IF(BN$2=Input_Tidshorisont,SUM(Materialedata[[#This Row],[C3/m²]:[C4/m²]]),IF(MOD(BN$2,Materialedata[[#This Row],[Levetid]])=0,SUM(Materialedata[[#This Row],[A1-A3/m²]:[C4/m²]]),0))
))</f>
        <v>-10.105000000000002</v>
      </c>
      <c r="BO11" s="141">
        <f>IF(BO$2&gt;Input_Tidshorisont,BlankTegn,IF(BO$2=0,SUM(Materialedata[[#This Row],[A1-A3/m²]:[A4/m²]]),
BN11+IF(BO$2=Input_Tidshorisont,SUM(Materialedata[[#This Row],[C3/m²]:[C4/m²]]),IF(MOD(BO$2,Materialedata[[#This Row],[Levetid]])=0,SUM(Materialedata[[#This Row],[A1-A3/m²]:[C4/m²]]),0))
))</f>
        <v>-10.105000000000002</v>
      </c>
      <c r="BP11" s="141">
        <f>IF(BP$2&gt;Input_Tidshorisont,BlankTegn,IF(BP$2=0,SUM(Materialedata[[#This Row],[A1-A3/m²]:[A4/m²]]),
BO11+IF(BP$2=Input_Tidshorisont,SUM(Materialedata[[#This Row],[C3/m²]:[C4/m²]]),IF(MOD(BP$2,Materialedata[[#This Row],[Levetid]])=0,SUM(Materialedata[[#This Row],[A1-A3/m²]:[C4/m²]]),0))
))</f>
        <v>-10.105000000000002</v>
      </c>
      <c r="BQ11" s="141">
        <f>IF(BQ$2&gt;Input_Tidshorisont,BlankTegn,IF(BQ$2=0,SUM(Materialedata[[#This Row],[A1-A3/m²]:[A4/m²]]),
BP11+IF(BQ$2=Input_Tidshorisont,SUM(Materialedata[[#This Row],[C3/m²]:[C4/m²]]),IF(MOD(BQ$2,Materialedata[[#This Row],[Levetid]])=0,SUM(Materialedata[[#This Row],[A1-A3/m²]:[C4/m²]]),0))
))</f>
        <v>-10.105000000000002</v>
      </c>
      <c r="BR11" s="141">
        <f>IF(BR$2&gt;Input_Tidshorisont,BlankTegn,IF(BR$2=0,SUM(Materialedata[[#This Row],[A1-A3/m²]:[A4/m²]]),
BQ11+IF(BR$2=Input_Tidshorisont,SUM(Materialedata[[#This Row],[C3/m²]:[C4/m²]]),IF(MOD(BR$2,Materialedata[[#This Row],[Levetid]])=0,SUM(Materialedata[[#This Row],[A1-A3/m²]:[C4/m²]]),0))
))</f>
        <v>-10.105000000000002</v>
      </c>
      <c r="BS11" s="141">
        <f>IF(BS$2&gt;Input_Tidshorisont,BlankTegn,IF(BS$2=0,SUM(Materialedata[[#This Row],[A1-A3/m²]:[A4/m²]]),
BR11+IF(BS$2=Input_Tidshorisont,SUM(Materialedata[[#This Row],[C3/m²]:[C4/m²]]),IF(MOD(BS$2,Materialedata[[#This Row],[Levetid]])=0,SUM(Materialedata[[#This Row],[A1-A3/m²]:[C4/m²]]),0))
))</f>
        <v>-10.105000000000002</v>
      </c>
      <c r="BT11" s="141">
        <f>IF(BT$2&gt;Input_Tidshorisont,BlankTegn,IF(BT$2=0,SUM(Materialedata[[#This Row],[A1-A3/m²]:[A4/m²]]),
BS11+IF(BT$2=Input_Tidshorisont,SUM(Materialedata[[#This Row],[C3/m²]:[C4/m²]]),IF(MOD(BT$2,Materialedata[[#This Row],[Levetid]])=0,SUM(Materialedata[[#This Row],[A1-A3/m²]:[C4/m²]]),0))
))</f>
        <v>-10.105000000000002</v>
      </c>
      <c r="BU11" s="141">
        <f>IF(BU$2&gt;Input_Tidshorisont,BlankTegn,IF(BU$2=0,SUM(Materialedata[[#This Row],[A1-A3/m²]:[A4/m²]]),
BT11+IF(BU$2=Input_Tidshorisont,SUM(Materialedata[[#This Row],[C3/m²]:[C4/m²]]),IF(MOD(BU$2,Materialedata[[#This Row],[Levetid]])=0,SUM(Materialedata[[#This Row],[A1-A3/m²]:[C4/m²]]),0))
))</f>
        <v>-10.105000000000002</v>
      </c>
      <c r="BV11" s="141">
        <f>IF(BV$2&gt;Input_Tidshorisont,BlankTegn,IF(BV$2=0,SUM(Materialedata[[#This Row],[A1-A3/m²]:[A4/m²]]),
BU11+IF(BV$2=Input_Tidshorisont,SUM(Materialedata[[#This Row],[C3/m²]:[C4/m²]]),IF(MOD(BV$2,Materialedata[[#This Row],[Levetid]])=0,SUM(Materialedata[[#This Row],[A1-A3/m²]:[C4/m²]]),0))
))</f>
        <v>-10.105000000000002</v>
      </c>
      <c r="BW11" s="141">
        <f>IF(BW$2&gt;Input_Tidshorisont,BlankTegn,IF(BW$2=0,SUM(Materialedata[[#This Row],[A1-A3/m²]:[A4/m²]]),
BV11+IF(BW$2=Input_Tidshorisont,SUM(Materialedata[[#This Row],[C3/m²]:[C4/m²]]),IF(MOD(BW$2,Materialedata[[#This Row],[Levetid]])=0,SUM(Materialedata[[#This Row],[A1-A3/m²]:[C4/m²]]),0))
))</f>
        <v>-10.105000000000002</v>
      </c>
      <c r="BX11" s="141">
        <f>IF(BX$2&gt;Input_Tidshorisont,BlankTegn,IF(BX$2=0,SUM(Materialedata[[#This Row],[A1-A3/m²]:[A4/m²]]),
BW11+IF(BX$2=Input_Tidshorisont,SUM(Materialedata[[#This Row],[C3/m²]:[C4/m²]]),IF(MOD(BX$2,Materialedata[[#This Row],[Levetid]])=0,SUM(Materialedata[[#This Row],[A1-A3/m²]:[C4/m²]]),0))
))</f>
        <v>-10.105000000000002</v>
      </c>
      <c r="BY11" s="141">
        <f>IF(BY$2&gt;Input_Tidshorisont,BlankTegn,IF(BY$2=0,SUM(Materialedata[[#This Row],[A1-A3/m²]:[A4/m²]]),
BX11+IF(BY$2=Input_Tidshorisont,SUM(Materialedata[[#This Row],[C3/m²]:[C4/m²]]),IF(MOD(BY$2,Materialedata[[#This Row],[Levetid]])=0,SUM(Materialedata[[#This Row],[A1-A3/m²]:[C4/m²]]),0))
))</f>
        <v>-10.105000000000002</v>
      </c>
      <c r="BZ11" s="141">
        <f>IF(BZ$2&gt;Input_Tidshorisont,BlankTegn,IF(BZ$2=0,SUM(Materialedata[[#This Row],[A1-A3/m²]:[A4/m²]]),
BY11+IF(BZ$2=Input_Tidshorisont,SUM(Materialedata[[#This Row],[C3/m²]:[C4/m²]]),IF(MOD(BZ$2,Materialedata[[#This Row],[Levetid]])=0,SUM(Materialedata[[#This Row],[A1-A3/m²]:[C4/m²]]),0))
))</f>
        <v>-10.105000000000002</v>
      </c>
      <c r="CA11" s="141">
        <f>IF(CA$2&gt;Input_Tidshorisont,BlankTegn,IF(CA$2=0,SUM(Materialedata[[#This Row],[A1-A3/m²]:[A4/m²]]),
BZ11+IF(CA$2=Input_Tidshorisont,SUM(Materialedata[[#This Row],[C3/m²]:[C4/m²]]),IF(MOD(CA$2,Materialedata[[#This Row],[Levetid]])=0,SUM(Materialedata[[#This Row],[A1-A3/m²]:[C4/m²]]),0))
))</f>
        <v>-10.105000000000002</v>
      </c>
      <c r="CB11" s="141">
        <f>IF(CB$2&gt;Input_Tidshorisont,BlankTegn,IF(CB$2=0,SUM(Materialedata[[#This Row],[A1-A3/m²]:[A4/m²]]),
CA11+IF(CB$2=Input_Tidshorisont,SUM(Materialedata[[#This Row],[C3/m²]:[C4/m²]]),IF(MOD(CB$2,Materialedata[[#This Row],[Levetid]])=0,SUM(Materialedata[[#This Row],[A1-A3/m²]:[C4/m²]]),0))
))</f>
        <v>-10.105000000000002</v>
      </c>
      <c r="CC11" s="141">
        <f>IF(CC$2&gt;Input_Tidshorisont,BlankTegn,IF(CC$2=0,SUM(Materialedata[[#This Row],[A1-A3/m²]:[A4/m²]]),
CB11+IF(CC$2=Input_Tidshorisont,SUM(Materialedata[[#This Row],[C3/m²]:[C4/m²]]),IF(MOD(CC$2,Materialedata[[#This Row],[Levetid]])=0,SUM(Materialedata[[#This Row],[A1-A3/m²]:[C4/m²]]),0))
))</f>
        <v>-10.105000000000002</v>
      </c>
      <c r="CD11" s="141">
        <f>IF(CD$2&gt;Input_Tidshorisont,BlankTegn,IF(CD$2=0,SUM(Materialedata[[#This Row],[A1-A3/m²]:[A4/m²]]),
CC11+IF(CD$2=Input_Tidshorisont,SUM(Materialedata[[#This Row],[C3/m²]:[C4/m²]]),IF(MOD(CD$2,Materialedata[[#This Row],[Levetid]])=0,SUM(Materialedata[[#This Row],[A1-A3/m²]:[C4/m²]]),0))
))</f>
        <v>-10.105000000000002</v>
      </c>
      <c r="CE11" s="141">
        <f>IF(CE$2&gt;Input_Tidshorisont,BlankTegn,IF(CE$2=0,SUM(Materialedata[[#This Row],[A1-A3/m²]:[A4/m²]]),
CD11+IF(CE$2=Input_Tidshorisont,SUM(Materialedata[[#This Row],[C3/m²]:[C4/m²]]),IF(MOD(CE$2,Materialedata[[#This Row],[Levetid]])=0,SUM(Materialedata[[#This Row],[A1-A3/m²]:[C4/m²]]),0))
))</f>
        <v>-10.105000000000002</v>
      </c>
      <c r="CF11" s="141">
        <f>IF(CF$2&gt;Input_Tidshorisont,BlankTegn,IF(CF$2=0,SUM(Materialedata[[#This Row],[A1-A3/m²]:[A4/m²]]),
CE11+IF(CF$2=Input_Tidshorisont,SUM(Materialedata[[#This Row],[C3/m²]:[C4/m²]]),IF(MOD(CF$2,Materialedata[[#This Row],[Levetid]])=0,SUM(Materialedata[[#This Row],[A1-A3/m²]:[C4/m²]]),0))
))</f>
        <v>-10.105000000000002</v>
      </c>
      <c r="CG11" s="141">
        <f>IF(CG$2&gt;Input_Tidshorisont,BlankTegn,IF(CG$2=0,SUM(Materialedata[[#This Row],[A1-A3/m²]:[A4/m²]]),
CF11+IF(CG$2=Input_Tidshorisont,SUM(Materialedata[[#This Row],[C3/m²]:[C4/m²]]),IF(MOD(CG$2,Materialedata[[#This Row],[Levetid]])=0,SUM(Materialedata[[#This Row],[A1-A3/m²]:[C4/m²]]),0))
))</f>
        <v>-10.105000000000002</v>
      </c>
      <c r="CH11" s="141">
        <f>IF(CH$2&gt;Input_Tidshorisont,BlankTegn,IF(CH$2=0,SUM(Materialedata[[#This Row],[A1-A3/m²]:[A4/m²]]),
CG11+IF(CH$2=Input_Tidshorisont,SUM(Materialedata[[#This Row],[C3/m²]:[C4/m²]]),IF(MOD(CH$2,Materialedata[[#This Row],[Levetid]])=0,SUM(Materialedata[[#This Row],[A1-A3/m²]:[C4/m²]]),0))
))</f>
        <v>2.278333333333336</v>
      </c>
      <c r="CI11" s="141" t="str">
        <f>IF(CI$2&gt;Input_Tidshorisont,BlankTegn,IF(CI$2=0,SUM(Materialedata[[#This Row],[A1-A3/m²]:[A4/m²]]),
CH11+IF(CI$2=Input_Tidshorisont,SUM(Materialedata[[#This Row],[C3/m²]:[C4/m²]]),IF(MOD(CI$2,Materialedata[[#This Row],[Levetid]])=0,SUM(Materialedata[[#This Row],[A1-A3/m²]:[C4/m²]]),0))
))</f>
        <v>.</v>
      </c>
      <c r="CJ11" s="141" t="str">
        <f>IF(CJ$2&gt;Input_Tidshorisont,BlankTegn,IF(CJ$2=0,SUM(Materialedata[[#This Row],[A1-A3/m²]:[A4/m²]]),
CI11+IF(CJ$2=Input_Tidshorisont,SUM(Materialedata[[#This Row],[C3/m²]:[C4/m²]]),IF(MOD(CJ$2,Materialedata[[#This Row],[Levetid]])=0,SUM(Materialedata[[#This Row],[A1-A3/m²]:[C4/m²]]),0))
))</f>
        <v>.</v>
      </c>
      <c r="CK11" s="141" t="str">
        <f>IF(CK$2&gt;Input_Tidshorisont,BlankTegn,IF(CK$2=0,SUM(Materialedata[[#This Row],[A1-A3/m²]:[A4/m²]]),
CJ11+IF(CK$2=Input_Tidshorisont,SUM(Materialedata[[#This Row],[C3/m²]:[C4/m²]]),IF(MOD(CK$2,Materialedata[[#This Row],[Levetid]])=0,SUM(Materialedata[[#This Row],[A1-A3/m²]:[C4/m²]]),0))
))</f>
        <v>.</v>
      </c>
      <c r="CL11" s="141" t="str">
        <f>IF(CL$2&gt;Input_Tidshorisont,BlankTegn,IF(CL$2=0,SUM(Materialedata[[#This Row],[A1-A3/m²]:[A4/m²]]),
CK11+IF(CL$2=Input_Tidshorisont,SUM(Materialedata[[#This Row],[C3/m²]:[C4/m²]]),IF(MOD(CL$2,Materialedata[[#This Row],[Levetid]])=0,SUM(Materialedata[[#This Row],[A1-A3/m²]:[C4/m²]]),0))
))</f>
        <v>.</v>
      </c>
      <c r="CM11" s="141" t="str">
        <f>IF(CM$2&gt;Input_Tidshorisont,BlankTegn,IF(CM$2=0,SUM(Materialedata[[#This Row],[A1-A3/m²]:[A4/m²]]),
CL11+IF(CM$2=Input_Tidshorisont,SUM(Materialedata[[#This Row],[C3/m²]:[C4/m²]]),IF(MOD(CM$2,Materialedata[[#This Row],[Levetid]])=0,SUM(Materialedata[[#This Row],[A1-A3/m²]:[C4/m²]]),0))
))</f>
        <v>.</v>
      </c>
      <c r="CN11" s="141" t="str">
        <f>IF(CN$2&gt;Input_Tidshorisont,BlankTegn,IF(CN$2=0,SUM(Materialedata[[#This Row],[A1-A3/m²]:[A4/m²]]),
CM11+IF(CN$2=Input_Tidshorisont,SUM(Materialedata[[#This Row],[C3/m²]:[C4/m²]]),IF(MOD(CN$2,Materialedata[[#This Row],[Levetid]])=0,SUM(Materialedata[[#This Row],[A1-A3/m²]:[C4/m²]]),0))
))</f>
        <v>.</v>
      </c>
      <c r="CO11" s="141" t="str">
        <f>IF(CO$2&gt;Input_Tidshorisont,BlankTegn,IF(CO$2=0,SUM(Materialedata[[#This Row],[A1-A3/m²]:[A4/m²]]),
CN11+IF(CO$2=Input_Tidshorisont,SUM(Materialedata[[#This Row],[C3/m²]:[C4/m²]]),IF(MOD(CO$2,Materialedata[[#This Row],[Levetid]])=0,SUM(Materialedata[[#This Row],[A1-A3/m²]:[C4/m²]]),0))
))</f>
        <v>.</v>
      </c>
      <c r="CP11" s="141" t="str">
        <f>IF(CP$2&gt;Input_Tidshorisont,BlankTegn,IF(CP$2=0,SUM(Materialedata[[#This Row],[A1-A3/m²]:[A4/m²]]),
CO11+IF(CP$2=Input_Tidshorisont,SUM(Materialedata[[#This Row],[C3/m²]:[C4/m²]]),IF(MOD(CP$2,Materialedata[[#This Row],[Levetid]])=0,SUM(Materialedata[[#This Row],[A1-A3/m²]:[C4/m²]]),0))
))</f>
        <v>.</v>
      </c>
      <c r="CQ11" s="141" t="str">
        <f>IF(CQ$2&gt;Input_Tidshorisont,BlankTegn,IF(CQ$2=0,SUM(Materialedata[[#This Row],[A1-A3/m²]:[A4/m²]]),
CP11+IF(CQ$2=Input_Tidshorisont,SUM(Materialedata[[#This Row],[C3/m²]:[C4/m²]]),IF(MOD(CQ$2,Materialedata[[#This Row],[Levetid]])=0,SUM(Materialedata[[#This Row],[A1-A3/m²]:[C4/m²]]),0))
))</f>
        <v>.</v>
      </c>
      <c r="CR11" s="141" t="str">
        <f>IF(CR$2&gt;Input_Tidshorisont,BlankTegn,IF(CR$2=0,SUM(Materialedata[[#This Row],[A1-A3/m²]:[A4/m²]]),
CQ11+IF(CR$2=Input_Tidshorisont,SUM(Materialedata[[#This Row],[C3/m²]:[C4/m²]]),IF(MOD(CR$2,Materialedata[[#This Row],[Levetid]])=0,SUM(Materialedata[[#This Row],[A1-A3/m²]:[C4/m²]]),0))
))</f>
        <v>.</v>
      </c>
      <c r="CS11" s="141" t="str">
        <f>IF(CS$2&gt;Input_Tidshorisont,BlankTegn,IF(CS$2=0,SUM(Materialedata[[#This Row],[A1-A3/m²]:[A4/m²]]),
CR11+IF(CS$2=Input_Tidshorisont,SUM(Materialedata[[#This Row],[C3/m²]:[C4/m²]]),IF(MOD(CS$2,Materialedata[[#This Row],[Levetid]])=0,SUM(Materialedata[[#This Row],[A1-A3/m²]:[C4/m²]]),0))
))</f>
        <v>.</v>
      </c>
      <c r="CT11" s="141" t="str">
        <f>IF(CT$2&gt;Input_Tidshorisont,BlankTegn,IF(CT$2=0,SUM(Materialedata[[#This Row],[A1-A3/m²]:[A4/m²]]),
CS11+IF(CT$2=Input_Tidshorisont,SUM(Materialedata[[#This Row],[C3/m²]:[C4/m²]]),IF(MOD(CT$2,Materialedata[[#This Row],[Levetid]])=0,SUM(Materialedata[[#This Row],[A1-A3/m²]:[C4/m²]]),0))
))</f>
        <v>.</v>
      </c>
      <c r="CU11" s="141" t="str">
        <f>IF(CU$2&gt;Input_Tidshorisont,BlankTegn,IF(CU$2=0,SUM(Materialedata[[#This Row],[A1-A3/m²]:[A4/m²]]),
CT11+IF(CU$2=Input_Tidshorisont,SUM(Materialedata[[#This Row],[C3/m²]:[C4/m²]]),IF(MOD(CU$2,Materialedata[[#This Row],[Levetid]])=0,SUM(Materialedata[[#This Row],[A1-A3/m²]:[C4/m²]]),0))
))</f>
        <v>.</v>
      </c>
      <c r="CV11" s="141" t="str">
        <f>IF(CV$2&gt;Input_Tidshorisont,BlankTegn,IF(CV$2=0,SUM(Materialedata[[#This Row],[A1-A3/m²]:[A4/m²]]),
CU11+IF(CV$2=Input_Tidshorisont,SUM(Materialedata[[#This Row],[C3/m²]:[C4/m²]]),IF(MOD(CV$2,Materialedata[[#This Row],[Levetid]])=0,SUM(Materialedata[[#This Row],[A1-A3/m²]:[C4/m²]]),0))
))</f>
        <v>.</v>
      </c>
      <c r="CW11" s="141" t="str">
        <f>IF(CW$2&gt;Input_Tidshorisont,BlankTegn,IF(CW$2=0,SUM(Materialedata[[#This Row],[A1-A3/m²]:[A4/m²]]),
CV11+IF(CW$2=Input_Tidshorisont,SUM(Materialedata[[#This Row],[C3/m²]:[C4/m²]]),IF(MOD(CW$2,Materialedata[[#This Row],[Levetid]])=0,SUM(Materialedata[[#This Row],[A1-A3/m²]:[C4/m²]]),0))
))</f>
        <v>.</v>
      </c>
      <c r="CX11" s="141" t="str">
        <f>IF(CX$2&gt;Input_Tidshorisont,BlankTegn,IF(CX$2=0,SUM(Materialedata[[#This Row],[A1-A3/m²]:[A4/m²]]),
CW11+IF(CX$2=Input_Tidshorisont,SUM(Materialedata[[#This Row],[C3/m²]:[C4/m²]]),IF(MOD(CX$2,Materialedata[[#This Row],[Levetid]])=0,SUM(Materialedata[[#This Row],[A1-A3/m²]:[C4/m²]]),0))
))</f>
        <v>.</v>
      </c>
      <c r="CY11" s="141" t="str">
        <f>IF(CY$2&gt;Input_Tidshorisont,BlankTegn,IF(CY$2=0,SUM(Materialedata[[#This Row],[A1-A3/m²]:[A4/m²]]),
CX11+IF(CY$2=Input_Tidshorisont,SUM(Materialedata[[#This Row],[C3/m²]:[C4/m²]]),IF(MOD(CY$2,Materialedata[[#This Row],[Levetid]])=0,SUM(Materialedata[[#This Row],[A1-A3/m²]:[C4/m²]]),0))
))</f>
        <v>.</v>
      </c>
      <c r="CZ11" s="141" t="str">
        <f>IF(CZ$2&gt;Input_Tidshorisont,BlankTegn,IF(CZ$2=0,SUM(Materialedata[[#This Row],[A1-A3/m²]:[A4/m²]]),
CY11+IF(CZ$2=Input_Tidshorisont,SUM(Materialedata[[#This Row],[C3/m²]:[C4/m²]]),IF(MOD(CZ$2,Materialedata[[#This Row],[Levetid]])=0,SUM(Materialedata[[#This Row],[A1-A3/m²]:[C4/m²]]),0))
))</f>
        <v>.</v>
      </c>
      <c r="DA11" s="141" t="str">
        <f>IF(DA$2&gt;Input_Tidshorisont,BlankTegn,IF(DA$2=0,SUM(Materialedata[[#This Row],[A1-A3/m²]:[A4/m²]]),
CZ11+IF(DA$2=Input_Tidshorisont,SUM(Materialedata[[#This Row],[C3/m²]:[C4/m²]]),IF(MOD(DA$2,Materialedata[[#This Row],[Levetid]])=0,SUM(Materialedata[[#This Row],[A1-A3/m²]:[C4/m²]]),0))
))</f>
        <v>.</v>
      </c>
      <c r="DB11" s="141" t="str">
        <f>IF(DB$2&gt;Input_Tidshorisont,BlankTegn,IF(DB$2=0,SUM(Materialedata[[#This Row],[A1-A3/m²]:[A4/m²]]),
DA11+IF(DB$2=Input_Tidshorisont,SUM(Materialedata[[#This Row],[C3/m²]:[C4/m²]]),IF(MOD(DB$2,Materialedata[[#This Row],[Levetid]])=0,SUM(Materialedata[[#This Row],[A1-A3/m²]:[C4/m²]]),0))
))</f>
        <v>.</v>
      </c>
      <c r="DC11" s="141" t="str">
        <f>IF(DC$2&gt;Input_Tidshorisont,BlankTegn,IF(DC$2=0,SUM(Materialedata[[#This Row],[A1-A3/m²]:[A4/m²]]),
DB11+IF(DC$2=Input_Tidshorisont,SUM(Materialedata[[#This Row],[C3/m²]:[C4/m²]]),IF(MOD(DC$2,Materialedata[[#This Row],[Levetid]])=0,SUM(Materialedata[[#This Row],[A1-A3/m²]:[C4/m²]]),0))
))</f>
        <v>.</v>
      </c>
      <c r="DD11" s="141" t="str">
        <f>IF(DD$2&gt;Input_Tidshorisont,BlankTegn,IF(DD$2=0,SUM(Materialedata[[#This Row],[A1-A3/m²]:[A4/m²]]),
DC11+IF(DD$2=Input_Tidshorisont,SUM(Materialedata[[#This Row],[C3/m²]:[C4/m²]]),IF(MOD(DD$2,Materialedata[[#This Row],[Levetid]])=0,SUM(Materialedata[[#This Row],[A1-A3/m²]:[C4/m²]]),0))
))</f>
        <v>.</v>
      </c>
      <c r="DE11" s="141" t="str">
        <f>IF(DE$2&gt;Input_Tidshorisont,BlankTegn,IF(DE$2=0,SUM(Materialedata[[#This Row],[A1-A3/m²]:[A4/m²]]),
DD11+IF(DE$2=Input_Tidshorisont,SUM(Materialedata[[#This Row],[C3/m²]:[C4/m²]]),IF(MOD(DE$2,Materialedata[[#This Row],[Levetid]])=0,SUM(Materialedata[[#This Row],[A1-A3/m²]:[C4/m²]]),0))
))</f>
        <v>.</v>
      </c>
      <c r="DF11" s="141" t="str">
        <f>IF(DF$2&gt;Input_Tidshorisont,BlankTegn,IF(DF$2=0,SUM(Materialedata[[#This Row],[A1-A3/m²]:[A4/m²]]),
DE11+IF(DF$2=Input_Tidshorisont,SUM(Materialedata[[#This Row],[C3/m²]:[C4/m²]]),IF(MOD(DF$2,Materialedata[[#This Row],[Levetid]])=0,SUM(Materialedata[[#This Row],[A1-A3/m²]:[C4/m²]]),0))
))</f>
        <v>.</v>
      </c>
      <c r="DG11" s="141" t="str">
        <f>IF(DG$2&gt;Input_Tidshorisont,BlankTegn,IF(DG$2=0,SUM(Materialedata[[#This Row],[A1-A3/m²]:[A4/m²]]),
DF11+IF(DG$2=Input_Tidshorisont,SUM(Materialedata[[#This Row],[C3/m²]:[C4/m²]]),IF(MOD(DG$2,Materialedata[[#This Row],[Levetid]])=0,SUM(Materialedata[[#This Row],[A1-A3/m²]:[C4/m²]]),0))
))</f>
        <v>.</v>
      </c>
      <c r="DH11" s="141" t="str">
        <f>IF(DH$2&gt;Input_Tidshorisont,BlankTegn,IF(DH$2=0,SUM(Materialedata[[#This Row],[A1-A3/m²]:[A4/m²]]),
DG11+IF(DH$2=Input_Tidshorisont,SUM(Materialedata[[#This Row],[C3/m²]:[C4/m²]]),IF(MOD(DH$2,Materialedata[[#This Row],[Levetid]])=0,SUM(Materialedata[[#This Row],[A1-A3/m²]:[C4/m²]]),0))
))</f>
        <v>.</v>
      </c>
      <c r="DI11" s="141" t="str">
        <f>IF(DI$2&gt;Input_Tidshorisont,BlankTegn,IF(DI$2=0,SUM(Materialedata[[#This Row],[A1-A3/m²]:[A4/m²]]),
DH11+IF(DI$2=Input_Tidshorisont,SUM(Materialedata[[#This Row],[C3/m²]:[C4/m²]]),IF(MOD(DI$2,Materialedata[[#This Row],[Levetid]])=0,SUM(Materialedata[[#This Row],[A1-A3/m²]:[C4/m²]]),0))
))</f>
        <v>.</v>
      </c>
      <c r="DJ11" s="141" t="str">
        <f>IF(DJ$2&gt;Input_Tidshorisont,BlankTegn,IF(DJ$2=0,SUM(Materialedata[[#This Row],[A1-A3/m²]:[A4/m²]]),
DI11+IF(DJ$2=Input_Tidshorisont,SUM(Materialedata[[#This Row],[C3/m²]:[C4/m²]]),IF(MOD(DJ$2,Materialedata[[#This Row],[Levetid]])=0,SUM(Materialedata[[#This Row],[A1-A3/m²]:[C4/m²]]),0))
))</f>
        <v>.</v>
      </c>
      <c r="DK11" s="141" t="str">
        <f>IF(DK$2&gt;Input_Tidshorisont,BlankTegn,IF(DK$2=0,SUM(Materialedata[[#This Row],[A1-A3/m²]:[A4/m²]]),
DJ11+IF(DK$2=Input_Tidshorisont,SUM(Materialedata[[#This Row],[C3/m²]:[C4/m²]]),IF(MOD(DK$2,Materialedata[[#This Row],[Levetid]])=0,SUM(Materialedata[[#This Row],[A1-A3/m²]:[C4/m²]]),0))
))</f>
        <v>.</v>
      </c>
      <c r="DL11" s="141" t="str">
        <f>IF(DL$2&gt;Input_Tidshorisont,BlankTegn,IF(DL$2=0,SUM(Materialedata[[#This Row],[A1-A3/m²]:[A4/m²]]),
DK11+IF(DL$2=Input_Tidshorisont,SUM(Materialedata[[#This Row],[C3/m²]:[C4/m²]]),IF(MOD(DL$2,Materialedata[[#This Row],[Levetid]])=0,SUM(Materialedata[[#This Row],[A1-A3/m²]:[C4/m²]]),0))
))</f>
        <v>.</v>
      </c>
      <c r="DM11" s="19"/>
    </row>
    <row r="12" spans="1:117">
      <c r="A12" s="182" t="s">
        <v>42</v>
      </c>
      <c r="B12" s="182" t="s">
        <v>145</v>
      </c>
      <c r="C12" s="148" t="s">
        <v>144</v>
      </c>
      <c r="D12" s="180" t="s">
        <v>276</v>
      </c>
      <c r="E12" s="180" t="s">
        <v>276</v>
      </c>
      <c r="F12" s="182" t="s">
        <v>140</v>
      </c>
      <c r="G12" s="182">
        <v>120</v>
      </c>
      <c r="H12" s="183">
        <v>500</v>
      </c>
      <c r="I12" s="193">
        <f>(0.05*0.15*2)/1.2*Materialedata[[#This Row],[Densitet]]</f>
        <v>6.25</v>
      </c>
      <c r="J12" s="184" t="s">
        <v>101</v>
      </c>
      <c r="K12" s="182">
        <v>-610</v>
      </c>
      <c r="L12" s="182" t="s">
        <v>206</v>
      </c>
      <c r="M12" s="185">
        <f>IF(ISBLANK(Materialedata[[#This Row],[A4-gruppe]]),BlankTegn,INDEX(Byggeproces[GWP],MATCH(Materialedata[[#This Row],[A4-gruppe]],Byggeproces[Gruppe/Undergruppe],0)))</f>
        <v>7.4000000000000003E-3</v>
      </c>
      <c r="N12" s="182">
        <v>743</v>
      </c>
      <c r="O12" s="182">
        <v>0</v>
      </c>
      <c r="P12" s="182">
        <v>-395</v>
      </c>
      <c r="Q12" s="279">
        <f>Materialedata[[#This Row],[A1-A3/standardenhed]]*Materialedata[[#This Row],[Mængde/m²]]/Materialedata[[#This Row],[Densitet]]</f>
        <v>-7.625</v>
      </c>
      <c r="R12" s="276" cm="1">
        <f t="array" ref="R12">IFERROR(_xlfn.IFS(Materialedata[[#This Row],[Mængde-enhed]]="kg/m²",Materialedata[[#This Row],[A4/kg]]*Materialedata[[#This Row],[Mængde/m²]],Materialedata[[#This Row],[Mængde-enhed]]="m³/m²",Materialedata[[#This Row],[A4/kg]]*Materialedata[[#This Row],[Mængde/m²]]*Materialedata[[#This Row],[Densitet]]),"N/A")</f>
        <v>4.6249999999999999E-2</v>
      </c>
      <c r="S12" s="188">
        <f>Materialedata[[#This Row],[C3/enhed]]*Materialedata[[#This Row],[Mængde/m²]]/Materialedata[[#This Row],[Densitet]]</f>
        <v>9.2874999999999996</v>
      </c>
      <c r="T12" s="188">
        <f>Materialedata[[#This Row],[C4/enhed]]*Materialedata[[#This Row],[Mængde/m²]]/Materialedata[[#This Row],[Densitet]]</f>
        <v>0</v>
      </c>
      <c r="U12" s="188">
        <f>Materialedata[[#This Row],[D/enhed]]*Materialedata[[#This Row],[Mængde/m²]]/Materialedata[[#This Row],[Densitet]]</f>
        <v>-4.9375</v>
      </c>
      <c r="V12" s="150">
        <f>IFERROR(INDEX(Range_Materiale_Genbrug,MATCH(Materialedata[[#This Row],[Komponent]],Facadekomponenter,0)),BlankTegn)</f>
        <v>0</v>
      </c>
      <c r="W12" s="150">
        <f>IFERROR(1-Materialedata[[#This Row],[Genbrug]],BlankTegn)</f>
        <v>1</v>
      </c>
      <c r="X12" s="186">
        <f>IFERROR(Materialedata[[#This Row],[A1-A3/m²_nyt]]*Materialedata[[#This Row],[Nyt]],BlankTegn)</f>
        <v>-7.625</v>
      </c>
      <c r="Y12" s="186">
        <f>Materialedata[[#This Row],[A4/m²_nyt]]</f>
        <v>4.6249999999999999E-2</v>
      </c>
      <c r="Z12" s="186">
        <f>IFERROR(Materialedata[[#This Row],[C3/m²_nyt]]*Materialedata[[#This Row],[Nyt]],BlankTegn)</f>
        <v>9.2874999999999996</v>
      </c>
      <c r="AA12" s="186">
        <f>IFERROR(Materialedata[[#This Row],[C4/m²_nyt]]*Materialedata[[#This Row],[Nyt]],BlankTegn)</f>
        <v>0</v>
      </c>
      <c r="AB12" s="186">
        <f>IFERROR(Materialedata[[#This Row],[D/m²_nyt]]*Materialedata[[#This Row],[Nyt]],BlankTegn)</f>
        <v>-4.9375</v>
      </c>
      <c r="AC12" s="187">
        <v>135.47999999999999</v>
      </c>
      <c r="AD12" s="188" t="s">
        <v>338</v>
      </c>
      <c r="AE12" s="277">
        <f>1/0.6</f>
        <v>1.6666666666666667</v>
      </c>
      <c r="AF12" s="189">
        <f>Materialedata[[#This Row],[Pris/enhed]]*Materialedata[[#This Row],[Omregning]]</f>
        <v>225.79999999999998</v>
      </c>
      <c r="AG12" s="190">
        <v>0.02</v>
      </c>
      <c r="AH12" s="191">
        <v>1</v>
      </c>
      <c r="AI12" s="162">
        <v>0</v>
      </c>
      <c r="AJ12" s="141">
        <f>IF(AJ$2&gt;Input_Tidshorisont,BlankTegn,IF(AJ$2=0,SUM(Materialedata[[#This Row],[A1-A3/m²]:[A4/m²]]),
AI12+IF(AJ$2=Input_Tidshorisont,SUM(Materialedata[[#This Row],[C3/m²]:[C4/m²]]),IF(MOD(AJ$2,Materialedata[[#This Row],[Levetid]])=0,SUM(Materialedata[[#This Row],[A1-A3/m²]:[C4/m²]]),0))
))</f>
        <v>-7.5787500000000003</v>
      </c>
      <c r="AK12" s="141">
        <f>IF(AK$2&gt;Input_Tidshorisont,BlankTegn,IF(AK$2=0,SUM(Materialedata[[#This Row],[A1-A3/m²]:[A4/m²]]),
AJ12+IF(AK$2=Input_Tidshorisont,SUM(Materialedata[[#This Row],[C3/m²]:[C4/m²]]),IF(MOD(AK$2,Materialedata[[#This Row],[Levetid]])=0,SUM(Materialedata[[#This Row],[A1-A3/m²]:[C4/m²]]),0))
))</f>
        <v>-7.5787500000000003</v>
      </c>
      <c r="AL12" s="141">
        <f>IF(AL$2&gt;Input_Tidshorisont,BlankTegn,IF(AL$2=0,SUM(Materialedata[[#This Row],[A1-A3/m²]:[A4/m²]]),
AK12+IF(AL$2=Input_Tidshorisont,SUM(Materialedata[[#This Row],[C3/m²]:[C4/m²]]),IF(MOD(AL$2,Materialedata[[#This Row],[Levetid]])=0,SUM(Materialedata[[#This Row],[A1-A3/m²]:[C4/m²]]),0))
))</f>
        <v>-7.5787500000000003</v>
      </c>
      <c r="AM12" s="141">
        <f>IF(AM$2&gt;Input_Tidshorisont,BlankTegn,IF(AM$2=0,SUM(Materialedata[[#This Row],[A1-A3/m²]:[A4/m²]]),
AL12+IF(AM$2=Input_Tidshorisont,SUM(Materialedata[[#This Row],[C3/m²]:[C4/m²]]),IF(MOD(AM$2,Materialedata[[#This Row],[Levetid]])=0,SUM(Materialedata[[#This Row],[A1-A3/m²]:[C4/m²]]),0))
))</f>
        <v>-7.5787500000000003</v>
      </c>
      <c r="AN12" s="141">
        <f>IF(AN$2&gt;Input_Tidshorisont,BlankTegn,IF(AN$2=0,SUM(Materialedata[[#This Row],[A1-A3/m²]:[A4/m²]]),
AM12+IF(AN$2=Input_Tidshorisont,SUM(Materialedata[[#This Row],[C3/m²]:[C4/m²]]),IF(MOD(AN$2,Materialedata[[#This Row],[Levetid]])=0,SUM(Materialedata[[#This Row],[A1-A3/m²]:[C4/m²]]),0))
))</f>
        <v>-7.5787500000000003</v>
      </c>
      <c r="AO12" s="141">
        <f>IF(AO$2&gt;Input_Tidshorisont,BlankTegn,IF(AO$2=0,SUM(Materialedata[[#This Row],[A1-A3/m²]:[A4/m²]]),
AN12+IF(AO$2=Input_Tidshorisont,SUM(Materialedata[[#This Row],[C3/m²]:[C4/m²]]),IF(MOD(AO$2,Materialedata[[#This Row],[Levetid]])=0,SUM(Materialedata[[#This Row],[A1-A3/m²]:[C4/m²]]),0))
))</f>
        <v>-7.5787500000000003</v>
      </c>
      <c r="AP12" s="141">
        <f>IF(AP$2&gt;Input_Tidshorisont,BlankTegn,IF(AP$2=0,SUM(Materialedata[[#This Row],[A1-A3/m²]:[A4/m²]]),
AO12+IF(AP$2=Input_Tidshorisont,SUM(Materialedata[[#This Row],[C3/m²]:[C4/m²]]),IF(MOD(AP$2,Materialedata[[#This Row],[Levetid]])=0,SUM(Materialedata[[#This Row],[A1-A3/m²]:[C4/m²]]),0))
))</f>
        <v>-7.5787500000000003</v>
      </c>
      <c r="AQ12" s="141">
        <f>IF(AQ$2&gt;Input_Tidshorisont,BlankTegn,IF(AQ$2=0,SUM(Materialedata[[#This Row],[A1-A3/m²]:[A4/m²]]),
AP12+IF(AQ$2=Input_Tidshorisont,SUM(Materialedata[[#This Row],[C3/m²]:[C4/m²]]),IF(MOD(AQ$2,Materialedata[[#This Row],[Levetid]])=0,SUM(Materialedata[[#This Row],[A1-A3/m²]:[C4/m²]]),0))
))</f>
        <v>-7.5787500000000003</v>
      </c>
      <c r="AR12" s="141">
        <f>IF(AR$2&gt;Input_Tidshorisont,BlankTegn,IF(AR$2=0,SUM(Materialedata[[#This Row],[A1-A3/m²]:[A4/m²]]),
AQ12+IF(AR$2=Input_Tidshorisont,SUM(Materialedata[[#This Row],[C3/m²]:[C4/m²]]),IF(MOD(AR$2,Materialedata[[#This Row],[Levetid]])=0,SUM(Materialedata[[#This Row],[A1-A3/m²]:[C4/m²]]),0))
))</f>
        <v>-7.5787500000000003</v>
      </c>
      <c r="AS12" s="141">
        <f>IF(AS$2&gt;Input_Tidshorisont,BlankTegn,IF(AS$2=0,SUM(Materialedata[[#This Row],[A1-A3/m²]:[A4/m²]]),
AR12+IF(AS$2=Input_Tidshorisont,SUM(Materialedata[[#This Row],[C3/m²]:[C4/m²]]),IF(MOD(AS$2,Materialedata[[#This Row],[Levetid]])=0,SUM(Materialedata[[#This Row],[A1-A3/m²]:[C4/m²]]),0))
))</f>
        <v>-7.5787500000000003</v>
      </c>
      <c r="AT12" s="141">
        <f>IF(AT$2&gt;Input_Tidshorisont,BlankTegn,IF(AT$2=0,SUM(Materialedata[[#This Row],[A1-A3/m²]:[A4/m²]]),
AS12+IF(AT$2=Input_Tidshorisont,SUM(Materialedata[[#This Row],[C3/m²]:[C4/m²]]),IF(MOD(AT$2,Materialedata[[#This Row],[Levetid]])=0,SUM(Materialedata[[#This Row],[A1-A3/m²]:[C4/m²]]),0))
))</f>
        <v>-7.5787500000000003</v>
      </c>
      <c r="AU12" s="141">
        <f>IF(AU$2&gt;Input_Tidshorisont,BlankTegn,IF(AU$2=0,SUM(Materialedata[[#This Row],[A1-A3/m²]:[A4/m²]]),
AT12+IF(AU$2=Input_Tidshorisont,SUM(Materialedata[[#This Row],[C3/m²]:[C4/m²]]),IF(MOD(AU$2,Materialedata[[#This Row],[Levetid]])=0,SUM(Materialedata[[#This Row],[A1-A3/m²]:[C4/m²]]),0))
))</f>
        <v>-7.5787500000000003</v>
      </c>
      <c r="AV12" s="141">
        <f>IF(AV$2&gt;Input_Tidshorisont,BlankTegn,IF(AV$2=0,SUM(Materialedata[[#This Row],[A1-A3/m²]:[A4/m²]]),
AU12+IF(AV$2=Input_Tidshorisont,SUM(Materialedata[[#This Row],[C3/m²]:[C4/m²]]),IF(MOD(AV$2,Materialedata[[#This Row],[Levetid]])=0,SUM(Materialedata[[#This Row],[A1-A3/m²]:[C4/m²]]),0))
))</f>
        <v>-7.5787500000000003</v>
      </c>
      <c r="AW12" s="141">
        <f>IF(AW$2&gt;Input_Tidshorisont,BlankTegn,IF(AW$2=0,SUM(Materialedata[[#This Row],[A1-A3/m²]:[A4/m²]]),
AV12+IF(AW$2=Input_Tidshorisont,SUM(Materialedata[[#This Row],[C3/m²]:[C4/m²]]),IF(MOD(AW$2,Materialedata[[#This Row],[Levetid]])=0,SUM(Materialedata[[#This Row],[A1-A3/m²]:[C4/m²]]),0))
))</f>
        <v>-7.5787500000000003</v>
      </c>
      <c r="AX12" s="141">
        <f>IF(AX$2&gt;Input_Tidshorisont,BlankTegn,IF(AX$2=0,SUM(Materialedata[[#This Row],[A1-A3/m²]:[A4/m²]]),
AW12+IF(AX$2=Input_Tidshorisont,SUM(Materialedata[[#This Row],[C3/m²]:[C4/m²]]),IF(MOD(AX$2,Materialedata[[#This Row],[Levetid]])=0,SUM(Materialedata[[#This Row],[A1-A3/m²]:[C4/m²]]),0))
))</f>
        <v>-7.5787500000000003</v>
      </c>
      <c r="AY12" s="141">
        <f>IF(AY$2&gt;Input_Tidshorisont,BlankTegn,IF(AY$2=0,SUM(Materialedata[[#This Row],[A1-A3/m²]:[A4/m²]]),
AX12+IF(AY$2=Input_Tidshorisont,SUM(Materialedata[[#This Row],[C3/m²]:[C4/m²]]),IF(MOD(AY$2,Materialedata[[#This Row],[Levetid]])=0,SUM(Materialedata[[#This Row],[A1-A3/m²]:[C4/m²]]),0))
))</f>
        <v>-7.5787500000000003</v>
      </c>
      <c r="AZ12" s="141">
        <f>IF(AZ$2&gt;Input_Tidshorisont,BlankTegn,IF(AZ$2=0,SUM(Materialedata[[#This Row],[A1-A3/m²]:[A4/m²]]),
AY12+IF(AZ$2=Input_Tidshorisont,SUM(Materialedata[[#This Row],[C3/m²]:[C4/m²]]),IF(MOD(AZ$2,Materialedata[[#This Row],[Levetid]])=0,SUM(Materialedata[[#This Row],[A1-A3/m²]:[C4/m²]]),0))
))</f>
        <v>-7.5787500000000003</v>
      </c>
      <c r="BA12" s="141">
        <f>IF(BA$2&gt;Input_Tidshorisont,BlankTegn,IF(BA$2=0,SUM(Materialedata[[#This Row],[A1-A3/m²]:[A4/m²]]),
AZ12+IF(BA$2=Input_Tidshorisont,SUM(Materialedata[[#This Row],[C3/m²]:[C4/m²]]),IF(MOD(BA$2,Materialedata[[#This Row],[Levetid]])=0,SUM(Materialedata[[#This Row],[A1-A3/m²]:[C4/m²]]),0))
))</f>
        <v>-7.5787500000000003</v>
      </c>
      <c r="BB12" s="141">
        <f>IF(BB$2&gt;Input_Tidshorisont,BlankTegn,IF(BB$2=0,SUM(Materialedata[[#This Row],[A1-A3/m²]:[A4/m²]]),
BA12+IF(BB$2=Input_Tidshorisont,SUM(Materialedata[[#This Row],[C3/m²]:[C4/m²]]),IF(MOD(BB$2,Materialedata[[#This Row],[Levetid]])=0,SUM(Materialedata[[#This Row],[A1-A3/m²]:[C4/m²]]),0))
))</f>
        <v>-7.5787500000000003</v>
      </c>
      <c r="BC12" s="141">
        <f>IF(BC$2&gt;Input_Tidshorisont,BlankTegn,IF(BC$2=0,SUM(Materialedata[[#This Row],[A1-A3/m²]:[A4/m²]]),
BB12+IF(BC$2=Input_Tidshorisont,SUM(Materialedata[[#This Row],[C3/m²]:[C4/m²]]),IF(MOD(BC$2,Materialedata[[#This Row],[Levetid]])=0,SUM(Materialedata[[#This Row],[A1-A3/m²]:[C4/m²]]),0))
))</f>
        <v>-7.5787500000000003</v>
      </c>
      <c r="BD12" s="141">
        <f>IF(BD$2&gt;Input_Tidshorisont,BlankTegn,IF(BD$2=0,SUM(Materialedata[[#This Row],[A1-A3/m²]:[A4/m²]]),
BC12+IF(BD$2=Input_Tidshorisont,SUM(Materialedata[[#This Row],[C3/m²]:[C4/m²]]),IF(MOD(BD$2,Materialedata[[#This Row],[Levetid]])=0,SUM(Materialedata[[#This Row],[A1-A3/m²]:[C4/m²]]),0))
))</f>
        <v>-7.5787500000000003</v>
      </c>
      <c r="BE12" s="141">
        <f>IF(BE$2&gt;Input_Tidshorisont,BlankTegn,IF(BE$2=0,SUM(Materialedata[[#This Row],[A1-A3/m²]:[A4/m²]]),
BD12+IF(BE$2=Input_Tidshorisont,SUM(Materialedata[[#This Row],[C3/m²]:[C4/m²]]),IF(MOD(BE$2,Materialedata[[#This Row],[Levetid]])=0,SUM(Materialedata[[#This Row],[A1-A3/m²]:[C4/m²]]),0))
))</f>
        <v>-7.5787500000000003</v>
      </c>
      <c r="BF12" s="141">
        <f>IF(BF$2&gt;Input_Tidshorisont,BlankTegn,IF(BF$2=0,SUM(Materialedata[[#This Row],[A1-A3/m²]:[A4/m²]]),
BE12+IF(BF$2=Input_Tidshorisont,SUM(Materialedata[[#This Row],[C3/m²]:[C4/m²]]),IF(MOD(BF$2,Materialedata[[#This Row],[Levetid]])=0,SUM(Materialedata[[#This Row],[A1-A3/m²]:[C4/m²]]),0))
))</f>
        <v>-7.5787500000000003</v>
      </c>
      <c r="BG12" s="141">
        <f>IF(BG$2&gt;Input_Tidshorisont,BlankTegn,IF(BG$2=0,SUM(Materialedata[[#This Row],[A1-A3/m²]:[A4/m²]]),
BF12+IF(BG$2=Input_Tidshorisont,SUM(Materialedata[[#This Row],[C3/m²]:[C4/m²]]),IF(MOD(BG$2,Materialedata[[#This Row],[Levetid]])=0,SUM(Materialedata[[#This Row],[A1-A3/m²]:[C4/m²]]),0))
))</f>
        <v>-7.5787500000000003</v>
      </c>
      <c r="BH12" s="141">
        <f>IF(BH$2&gt;Input_Tidshorisont,BlankTegn,IF(BH$2=0,SUM(Materialedata[[#This Row],[A1-A3/m²]:[A4/m²]]),
BG12+IF(BH$2=Input_Tidshorisont,SUM(Materialedata[[#This Row],[C3/m²]:[C4/m²]]),IF(MOD(BH$2,Materialedata[[#This Row],[Levetid]])=0,SUM(Materialedata[[#This Row],[A1-A3/m²]:[C4/m²]]),0))
))</f>
        <v>-7.5787500000000003</v>
      </c>
      <c r="BI12" s="141">
        <f>IF(BI$2&gt;Input_Tidshorisont,BlankTegn,IF(BI$2=0,SUM(Materialedata[[#This Row],[A1-A3/m²]:[A4/m²]]),
BH12+IF(BI$2=Input_Tidshorisont,SUM(Materialedata[[#This Row],[C3/m²]:[C4/m²]]),IF(MOD(BI$2,Materialedata[[#This Row],[Levetid]])=0,SUM(Materialedata[[#This Row],[A1-A3/m²]:[C4/m²]]),0))
))</f>
        <v>-7.5787500000000003</v>
      </c>
      <c r="BJ12" s="141">
        <f>IF(BJ$2&gt;Input_Tidshorisont,BlankTegn,IF(BJ$2=0,SUM(Materialedata[[#This Row],[A1-A3/m²]:[A4/m²]]),
BI12+IF(BJ$2=Input_Tidshorisont,SUM(Materialedata[[#This Row],[C3/m²]:[C4/m²]]),IF(MOD(BJ$2,Materialedata[[#This Row],[Levetid]])=0,SUM(Materialedata[[#This Row],[A1-A3/m²]:[C4/m²]]),0))
))</f>
        <v>-7.5787500000000003</v>
      </c>
      <c r="BK12" s="141">
        <f>IF(BK$2&gt;Input_Tidshorisont,BlankTegn,IF(BK$2=0,SUM(Materialedata[[#This Row],[A1-A3/m²]:[A4/m²]]),
BJ12+IF(BK$2=Input_Tidshorisont,SUM(Materialedata[[#This Row],[C3/m²]:[C4/m²]]),IF(MOD(BK$2,Materialedata[[#This Row],[Levetid]])=0,SUM(Materialedata[[#This Row],[A1-A3/m²]:[C4/m²]]),0))
))</f>
        <v>-7.5787500000000003</v>
      </c>
      <c r="BL12" s="141">
        <f>IF(BL$2&gt;Input_Tidshorisont,BlankTegn,IF(BL$2=0,SUM(Materialedata[[#This Row],[A1-A3/m²]:[A4/m²]]),
BK12+IF(BL$2=Input_Tidshorisont,SUM(Materialedata[[#This Row],[C3/m²]:[C4/m²]]),IF(MOD(BL$2,Materialedata[[#This Row],[Levetid]])=0,SUM(Materialedata[[#This Row],[A1-A3/m²]:[C4/m²]]),0))
))</f>
        <v>-7.5787500000000003</v>
      </c>
      <c r="BM12" s="141">
        <f>IF(BM$2&gt;Input_Tidshorisont,BlankTegn,IF(BM$2=0,SUM(Materialedata[[#This Row],[A1-A3/m²]:[A4/m²]]),
BL12+IF(BM$2=Input_Tidshorisont,SUM(Materialedata[[#This Row],[C3/m²]:[C4/m²]]),IF(MOD(BM$2,Materialedata[[#This Row],[Levetid]])=0,SUM(Materialedata[[#This Row],[A1-A3/m²]:[C4/m²]]),0))
))</f>
        <v>-7.5787500000000003</v>
      </c>
      <c r="BN12" s="141">
        <f>IF(BN$2&gt;Input_Tidshorisont,BlankTegn,IF(BN$2=0,SUM(Materialedata[[#This Row],[A1-A3/m²]:[A4/m²]]),
BM12+IF(BN$2=Input_Tidshorisont,SUM(Materialedata[[#This Row],[C3/m²]:[C4/m²]]),IF(MOD(BN$2,Materialedata[[#This Row],[Levetid]])=0,SUM(Materialedata[[#This Row],[A1-A3/m²]:[C4/m²]]),0))
))</f>
        <v>-7.5787500000000003</v>
      </c>
      <c r="BO12" s="141">
        <f>IF(BO$2&gt;Input_Tidshorisont,BlankTegn,IF(BO$2=0,SUM(Materialedata[[#This Row],[A1-A3/m²]:[A4/m²]]),
BN12+IF(BO$2=Input_Tidshorisont,SUM(Materialedata[[#This Row],[C3/m²]:[C4/m²]]),IF(MOD(BO$2,Materialedata[[#This Row],[Levetid]])=0,SUM(Materialedata[[#This Row],[A1-A3/m²]:[C4/m²]]),0))
))</f>
        <v>-7.5787500000000003</v>
      </c>
      <c r="BP12" s="141">
        <f>IF(BP$2&gt;Input_Tidshorisont,BlankTegn,IF(BP$2=0,SUM(Materialedata[[#This Row],[A1-A3/m²]:[A4/m²]]),
BO12+IF(BP$2=Input_Tidshorisont,SUM(Materialedata[[#This Row],[C3/m²]:[C4/m²]]),IF(MOD(BP$2,Materialedata[[#This Row],[Levetid]])=0,SUM(Materialedata[[#This Row],[A1-A3/m²]:[C4/m²]]),0))
))</f>
        <v>-7.5787500000000003</v>
      </c>
      <c r="BQ12" s="141">
        <f>IF(BQ$2&gt;Input_Tidshorisont,BlankTegn,IF(BQ$2=0,SUM(Materialedata[[#This Row],[A1-A3/m²]:[A4/m²]]),
BP12+IF(BQ$2=Input_Tidshorisont,SUM(Materialedata[[#This Row],[C3/m²]:[C4/m²]]),IF(MOD(BQ$2,Materialedata[[#This Row],[Levetid]])=0,SUM(Materialedata[[#This Row],[A1-A3/m²]:[C4/m²]]),0))
))</f>
        <v>-7.5787500000000003</v>
      </c>
      <c r="BR12" s="141">
        <f>IF(BR$2&gt;Input_Tidshorisont,BlankTegn,IF(BR$2=0,SUM(Materialedata[[#This Row],[A1-A3/m²]:[A4/m²]]),
BQ12+IF(BR$2=Input_Tidshorisont,SUM(Materialedata[[#This Row],[C3/m²]:[C4/m²]]),IF(MOD(BR$2,Materialedata[[#This Row],[Levetid]])=0,SUM(Materialedata[[#This Row],[A1-A3/m²]:[C4/m²]]),0))
))</f>
        <v>-7.5787500000000003</v>
      </c>
      <c r="BS12" s="141">
        <f>IF(BS$2&gt;Input_Tidshorisont,BlankTegn,IF(BS$2=0,SUM(Materialedata[[#This Row],[A1-A3/m²]:[A4/m²]]),
BR12+IF(BS$2=Input_Tidshorisont,SUM(Materialedata[[#This Row],[C3/m²]:[C4/m²]]),IF(MOD(BS$2,Materialedata[[#This Row],[Levetid]])=0,SUM(Materialedata[[#This Row],[A1-A3/m²]:[C4/m²]]),0))
))</f>
        <v>-7.5787500000000003</v>
      </c>
      <c r="BT12" s="141">
        <f>IF(BT$2&gt;Input_Tidshorisont,BlankTegn,IF(BT$2=0,SUM(Materialedata[[#This Row],[A1-A3/m²]:[A4/m²]]),
BS12+IF(BT$2=Input_Tidshorisont,SUM(Materialedata[[#This Row],[C3/m²]:[C4/m²]]),IF(MOD(BT$2,Materialedata[[#This Row],[Levetid]])=0,SUM(Materialedata[[#This Row],[A1-A3/m²]:[C4/m²]]),0))
))</f>
        <v>-7.5787500000000003</v>
      </c>
      <c r="BU12" s="141">
        <f>IF(BU$2&gt;Input_Tidshorisont,BlankTegn,IF(BU$2=0,SUM(Materialedata[[#This Row],[A1-A3/m²]:[A4/m²]]),
BT12+IF(BU$2=Input_Tidshorisont,SUM(Materialedata[[#This Row],[C3/m²]:[C4/m²]]),IF(MOD(BU$2,Materialedata[[#This Row],[Levetid]])=0,SUM(Materialedata[[#This Row],[A1-A3/m²]:[C4/m²]]),0))
))</f>
        <v>-7.5787500000000003</v>
      </c>
      <c r="BV12" s="141">
        <f>IF(BV$2&gt;Input_Tidshorisont,BlankTegn,IF(BV$2=0,SUM(Materialedata[[#This Row],[A1-A3/m²]:[A4/m²]]),
BU12+IF(BV$2=Input_Tidshorisont,SUM(Materialedata[[#This Row],[C3/m²]:[C4/m²]]),IF(MOD(BV$2,Materialedata[[#This Row],[Levetid]])=0,SUM(Materialedata[[#This Row],[A1-A3/m²]:[C4/m²]]),0))
))</f>
        <v>-7.5787500000000003</v>
      </c>
      <c r="BW12" s="141">
        <f>IF(BW$2&gt;Input_Tidshorisont,BlankTegn,IF(BW$2=0,SUM(Materialedata[[#This Row],[A1-A3/m²]:[A4/m²]]),
BV12+IF(BW$2=Input_Tidshorisont,SUM(Materialedata[[#This Row],[C3/m²]:[C4/m²]]),IF(MOD(BW$2,Materialedata[[#This Row],[Levetid]])=0,SUM(Materialedata[[#This Row],[A1-A3/m²]:[C4/m²]]),0))
))</f>
        <v>-7.5787500000000003</v>
      </c>
      <c r="BX12" s="141">
        <f>IF(BX$2&gt;Input_Tidshorisont,BlankTegn,IF(BX$2=0,SUM(Materialedata[[#This Row],[A1-A3/m²]:[A4/m²]]),
BW12+IF(BX$2=Input_Tidshorisont,SUM(Materialedata[[#This Row],[C3/m²]:[C4/m²]]),IF(MOD(BX$2,Materialedata[[#This Row],[Levetid]])=0,SUM(Materialedata[[#This Row],[A1-A3/m²]:[C4/m²]]),0))
))</f>
        <v>-7.5787500000000003</v>
      </c>
      <c r="BY12" s="141">
        <f>IF(BY$2&gt;Input_Tidshorisont,BlankTegn,IF(BY$2=0,SUM(Materialedata[[#This Row],[A1-A3/m²]:[A4/m²]]),
BX12+IF(BY$2=Input_Tidshorisont,SUM(Materialedata[[#This Row],[C3/m²]:[C4/m²]]),IF(MOD(BY$2,Materialedata[[#This Row],[Levetid]])=0,SUM(Materialedata[[#This Row],[A1-A3/m²]:[C4/m²]]),0))
))</f>
        <v>-7.5787500000000003</v>
      </c>
      <c r="BZ12" s="141">
        <f>IF(BZ$2&gt;Input_Tidshorisont,BlankTegn,IF(BZ$2=0,SUM(Materialedata[[#This Row],[A1-A3/m²]:[A4/m²]]),
BY12+IF(BZ$2=Input_Tidshorisont,SUM(Materialedata[[#This Row],[C3/m²]:[C4/m²]]),IF(MOD(BZ$2,Materialedata[[#This Row],[Levetid]])=0,SUM(Materialedata[[#This Row],[A1-A3/m²]:[C4/m²]]),0))
))</f>
        <v>-7.5787500000000003</v>
      </c>
      <c r="CA12" s="141">
        <f>IF(CA$2&gt;Input_Tidshorisont,BlankTegn,IF(CA$2=0,SUM(Materialedata[[#This Row],[A1-A3/m²]:[A4/m²]]),
BZ12+IF(CA$2=Input_Tidshorisont,SUM(Materialedata[[#This Row],[C3/m²]:[C4/m²]]),IF(MOD(CA$2,Materialedata[[#This Row],[Levetid]])=0,SUM(Materialedata[[#This Row],[A1-A3/m²]:[C4/m²]]),0))
))</f>
        <v>-7.5787500000000003</v>
      </c>
      <c r="CB12" s="141">
        <f>IF(CB$2&gt;Input_Tidshorisont,BlankTegn,IF(CB$2=0,SUM(Materialedata[[#This Row],[A1-A3/m²]:[A4/m²]]),
CA12+IF(CB$2=Input_Tidshorisont,SUM(Materialedata[[#This Row],[C3/m²]:[C4/m²]]),IF(MOD(CB$2,Materialedata[[#This Row],[Levetid]])=0,SUM(Materialedata[[#This Row],[A1-A3/m²]:[C4/m²]]),0))
))</f>
        <v>-7.5787500000000003</v>
      </c>
      <c r="CC12" s="141">
        <f>IF(CC$2&gt;Input_Tidshorisont,BlankTegn,IF(CC$2=0,SUM(Materialedata[[#This Row],[A1-A3/m²]:[A4/m²]]),
CB12+IF(CC$2=Input_Tidshorisont,SUM(Materialedata[[#This Row],[C3/m²]:[C4/m²]]),IF(MOD(CC$2,Materialedata[[#This Row],[Levetid]])=0,SUM(Materialedata[[#This Row],[A1-A3/m²]:[C4/m²]]),0))
))</f>
        <v>-7.5787500000000003</v>
      </c>
      <c r="CD12" s="141">
        <f>IF(CD$2&gt;Input_Tidshorisont,BlankTegn,IF(CD$2=0,SUM(Materialedata[[#This Row],[A1-A3/m²]:[A4/m²]]),
CC12+IF(CD$2=Input_Tidshorisont,SUM(Materialedata[[#This Row],[C3/m²]:[C4/m²]]),IF(MOD(CD$2,Materialedata[[#This Row],[Levetid]])=0,SUM(Materialedata[[#This Row],[A1-A3/m²]:[C4/m²]]),0))
))</f>
        <v>-7.5787500000000003</v>
      </c>
      <c r="CE12" s="141">
        <f>IF(CE$2&gt;Input_Tidshorisont,BlankTegn,IF(CE$2=0,SUM(Materialedata[[#This Row],[A1-A3/m²]:[A4/m²]]),
CD12+IF(CE$2=Input_Tidshorisont,SUM(Materialedata[[#This Row],[C3/m²]:[C4/m²]]),IF(MOD(CE$2,Materialedata[[#This Row],[Levetid]])=0,SUM(Materialedata[[#This Row],[A1-A3/m²]:[C4/m²]]),0))
))</f>
        <v>-7.5787500000000003</v>
      </c>
      <c r="CF12" s="141">
        <f>IF(CF$2&gt;Input_Tidshorisont,BlankTegn,IF(CF$2=0,SUM(Materialedata[[#This Row],[A1-A3/m²]:[A4/m²]]),
CE12+IF(CF$2=Input_Tidshorisont,SUM(Materialedata[[#This Row],[C3/m²]:[C4/m²]]),IF(MOD(CF$2,Materialedata[[#This Row],[Levetid]])=0,SUM(Materialedata[[#This Row],[A1-A3/m²]:[C4/m²]]),0))
))</f>
        <v>-7.5787500000000003</v>
      </c>
      <c r="CG12" s="141">
        <f>IF(CG$2&gt;Input_Tidshorisont,BlankTegn,IF(CG$2=0,SUM(Materialedata[[#This Row],[A1-A3/m²]:[A4/m²]]),
CF12+IF(CG$2=Input_Tidshorisont,SUM(Materialedata[[#This Row],[C3/m²]:[C4/m²]]),IF(MOD(CG$2,Materialedata[[#This Row],[Levetid]])=0,SUM(Materialedata[[#This Row],[A1-A3/m²]:[C4/m²]]),0))
))</f>
        <v>-7.5787500000000003</v>
      </c>
      <c r="CH12" s="141">
        <f>IF(CH$2&gt;Input_Tidshorisont,BlankTegn,IF(CH$2=0,SUM(Materialedata[[#This Row],[A1-A3/m²]:[A4/m²]]),
CG12+IF(CH$2=Input_Tidshorisont,SUM(Materialedata[[#This Row],[C3/m²]:[C4/m²]]),IF(MOD(CH$2,Materialedata[[#This Row],[Levetid]])=0,SUM(Materialedata[[#This Row],[A1-A3/m²]:[C4/m²]]),0))
))</f>
        <v>1.7087499999999993</v>
      </c>
      <c r="CI12" s="141" t="str">
        <f>IF(CI$2&gt;Input_Tidshorisont,BlankTegn,IF(CI$2=0,SUM(Materialedata[[#This Row],[A1-A3/m²]:[A4/m²]]),
CH12+IF(CI$2=Input_Tidshorisont,SUM(Materialedata[[#This Row],[C3/m²]:[C4/m²]]),IF(MOD(CI$2,Materialedata[[#This Row],[Levetid]])=0,SUM(Materialedata[[#This Row],[A1-A3/m²]:[C4/m²]]),0))
))</f>
        <v>.</v>
      </c>
      <c r="CJ12" s="141" t="str">
        <f>IF(CJ$2&gt;Input_Tidshorisont,BlankTegn,IF(CJ$2=0,SUM(Materialedata[[#This Row],[A1-A3/m²]:[A4/m²]]),
CI12+IF(CJ$2=Input_Tidshorisont,SUM(Materialedata[[#This Row],[C3/m²]:[C4/m²]]),IF(MOD(CJ$2,Materialedata[[#This Row],[Levetid]])=0,SUM(Materialedata[[#This Row],[A1-A3/m²]:[C4/m²]]),0))
))</f>
        <v>.</v>
      </c>
      <c r="CK12" s="141" t="str">
        <f>IF(CK$2&gt;Input_Tidshorisont,BlankTegn,IF(CK$2=0,SUM(Materialedata[[#This Row],[A1-A3/m²]:[A4/m²]]),
CJ12+IF(CK$2=Input_Tidshorisont,SUM(Materialedata[[#This Row],[C3/m²]:[C4/m²]]),IF(MOD(CK$2,Materialedata[[#This Row],[Levetid]])=0,SUM(Materialedata[[#This Row],[A1-A3/m²]:[C4/m²]]),0))
))</f>
        <v>.</v>
      </c>
      <c r="CL12" s="141" t="str">
        <f>IF(CL$2&gt;Input_Tidshorisont,BlankTegn,IF(CL$2=0,SUM(Materialedata[[#This Row],[A1-A3/m²]:[A4/m²]]),
CK12+IF(CL$2=Input_Tidshorisont,SUM(Materialedata[[#This Row],[C3/m²]:[C4/m²]]),IF(MOD(CL$2,Materialedata[[#This Row],[Levetid]])=0,SUM(Materialedata[[#This Row],[A1-A3/m²]:[C4/m²]]),0))
))</f>
        <v>.</v>
      </c>
      <c r="CM12" s="141" t="str">
        <f>IF(CM$2&gt;Input_Tidshorisont,BlankTegn,IF(CM$2=0,SUM(Materialedata[[#This Row],[A1-A3/m²]:[A4/m²]]),
CL12+IF(CM$2=Input_Tidshorisont,SUM(Materialedata[[#This Row],[C3/m²]:[C4/m²]]),IF(MOD(CM$2,Materialedata[[#This Row],[Levetid]])=0,SUM(Materialedata[[#This Row],[A1-A3/m²]:[C4/m²]]),0))
))</f>
        <v>.</v>
      </c>
      <c r="CN12" s="141" t="str">
        <f>IF(CN$2&gt;Input_Tidshorisont,BlankTegn,IF(CN$2=0,SUM(Materialedata[[#This Row],[A1-A3/m²]:[A4/m²]]),
CM12+IF(CN$2=Input_Tidshorisont,SUM(Materialedata[[#This Row],[C3/m²]:[C4/m²]]),IF(MOD(CN$2,Materialedata[[#This Row],[Levetid]])=0,SUM(Materialedata[[#This Row],[A1-A3/m²]:[C4/m²]]),0))
))</f>
        <v>.</v>
      </c>
      <c r="CO12" s="141" t="str">
        <f>IF(CO$2&gt;Input_Tidshorisont,BlankTegn,IF(CO$2=0,SUM(Materialedata[[#This Row],[A1-A3/m²]:[A4/m²]]),
CN12+IF(CO$2=Input_Tidshorisont,SUM(Materialedata[[#This Row],[C3/m²]:[C4/m²]]),IF(MOD(CO$2,Materialedata[[#This Row],[Levetid]])=0,SUM(Materialedata[[#This Row],[A1-A3/m²]:[C4/m²]]),0))
))</f>
        <v>.</v>
      </c>
      <c r="CP12" s="141" t="str">
        <f>IF(CP$2&gt;Input_Tidshorisont,BlankTegn,IF(CP$2=0,SUM(Materialedata[[#This Row],[A1-A3/m²]:[A4/m²]]),
CO12+IF(CP$2=Input_Tidshorisont,SUM(Materialedata[[#This Row],[C3/m²]:[C4/m²]]),IF(MOD(CP$2,Materialedata[[#This Row],[Levetid]])=0,SUM(Materialedata[[#This Row],[A1-A3/m²]:[C4/m²]]),0))
))</f>
        <v>.</v>
      </c>
      <c r="CQ12" s="141" t="str">
        <f>IF(CQ$2&gt;Input_Tidshorisont,BlankTegn,IF(CQ$2=0,SUM(Materialedata[[#This Row],[A1-A3/m²]:[A4/m²]]),
CP12+IF(CQ$2=Input_Tidshorisont,SUM(Materialedata[[#This Row],[C3/m²]:[C4/m²]]),IF(MOD(CQ$2,Materialedata[[#This Row],[Levetid]])=0,SUM(Materialedata[[#This Row],[A1-A3/m²]:[C4/m²]]),0))
))</f>
        <v>.</v>
      </c>
      <c r="CR12" s="141" t="str">
        <f>IF(CR$2&gt;Input_Tidshorisont,BlankTegn,IF(CR$2=0,SUM(Materialedata[[#This Row],[A1-A3/m²]:[A4/m²]]),
CQ12+IF(CR$2=Input_Tidshorisont,SUM(Materialedata[[#This Row],[C3/m²]:[C4/m²]]),IF(MOD(CR$2,Materialedata[[#This Row],[Levetid]])=0,SUM(Materialedata[[#This Row],[A1-A3/m²]:[C4/m²]]),0))
))</f>
        <v>.</v>
      </c>
      <c r="CS12" s="141" t="str">
        <f>IF(CS$2&gt;Input_Tidshorisont,BlankTegn,IF(CS$2=0,SUM(Materialedata[[#This Row],[A1-A3/m²]:[A4/m²]]),
CR12+IF(CS$2=Input_Tidshorisont,SUM(Materialedata[[#This Row],[C3/m²]:[C4/m²]]),IF(MOD(CS$2,Materialedata[[#This Row],[Levetid]])=0,SUM(Materialedata[[#This Row],[A1-A3/m²]:[C4/m²]]),0))
))</f>
        <v>.</v>
      </c>
      <c r="CT12" s="141" t="str">
        <f>IF(CT$2&gt;Input_Tidshorisont,BlankTegn,IF(CT$2=0,SUM(Materialedata[[#This Row],[A1-A3/m²]:[A4/m²]]),
CS12+IF(CT$2=Input_Tidshorisont,SUM(Materialedata[[#This Row],[C3/m²]:[C4/m²]]),IF(MOD(CT$2,Materialedata[[#This Row],[Levetid]])=0,SUM(Materialedata[[#This Row],[A1-A3/m²]:[C4/m²]]),0))
))</f>
        <v>.</v>
      </c>
      <c r="CU12" s="141" t="str">
        <f>IF(CU$2&gt;Input_Tidshorisont,BlankTegn,IF(CU$2=0,SUM(Materialedata[[#This Row],[A1-A3/m²]:[A4/m²]]),
CT12+IF(CU$2=Input_Tidshorisont,SUM(Materialedata[[#This Row],[C3/m²]:[C4/m²]]),IF(MOD(CU$2,Materialedata[[#This Row],[Levetid]])=0,SUM(Materialedata[[#This Row],[A1-A3/m²]:[C4/m²]]),0))
))</f>
        <v>.</v>
      </c>
      <c r="CV12" s="141" t="str">
        <f>IF(CV$2&gt;Input_Tidshorisont,BlankTegn,IF(CV$2=0,SUM(Materialedata[[#This Row],[A1-A3/m²]:[A4/m²]]),
CU12+IF(CV$2=Input_Tidshorisont,SUM(Materialedata[[#This Row],[C3/m²]:[C4/m²]]),IF(MOD(CV$2,Materialedata[[#This Row],[Levetid]])=0,SUM(Materialedata[[#This Row],[A1-A3/m²]:[C4/m²]]),0))
))</f>
        <v>.</v>
      </c>
      <c r="CW12" s="141" t="str">
        <f>IF(CW$2&gt;Input_Tidshorisont,BlankTegn,IF(CW$2=0,SUM(Materialedata[[#This Row],[A1-A3/m²]:[A4/m²]]),
CV12+IF(CW$2=Input_Tidshorisont,SUM(Materialedata[[#This Row],[C3/m²]:[C4/m²]]),IF(MOD(CW$2,Materialedata[[#This Row],[Levetid]])=0,SUM(Materialedata[[#This Row],[A1-A3/m²]:[C4/m²]]),0))
))</f>
        <v>.</v>
      </c>
      <c r="CX12" s="141" t="str">
        <f>IF(CX$2&gt;Input_Tidshorisont,BlankTegn,IF(CX$2=0,SUM(Materialedata[[#This Row],[A1-A3/m²]:[A4/m²]]),
CW12+IF(CX$2=Input_Tidshorisont,SUM(Materialedata[[#This Row],[C3/m²]:[C4/m²]]),IF(MOD(CX$2,Materialedata[[#This Row],[Levetid]])=0,SUM(Materialedata[[#This Row],[A1-A3/m²]:[C4/m²]]),0))
))</f>
        <v>.</v>
      </c>
      <c r="CY12" s="141" t="str">
        <f>IF(CY$2&gt;Input_Tidshorisont,BlankTegn,IF(CY$2=0,SUM(Materialedata[[#This Row],[A1-A3/m²]:[A4/m²]]),
CX12+IF(CY$2=Input_Tidshorisont,SUM(Materialedata[[#This Row],[C3/m²]:[C4/m²]]),IF(MOD(CY$2,Materialedata[[#This Row],[Levetid]])=0,SUM(Materialedata[[#This Row],[A1-A3/m²]:[C4/m²]]),0))
))</f>
        <v>.</v>
      </c>
      <c r="CZ12" s="141" t="str">
        <f>IF(CZ$2&gt;Input_Tidshorisont,BlankTegn,IF(CZ$2=0,SUM(Materialedata[[#This Row],[A1-A3/m²]:[A4/m²]]),
CY12+IF(CZ$2=Input_Tidshorisont,SUM(Materialedata[[#This Row],[C3/m²]:[C4/m²]]),IF(MOD(CZ$2,Materialedata[[#This Row],[Levetid]])=0,SUM(Materialedata[[#This Row],[A1-A3/m²]:[C4/m²]]),0))
))</f>
        <v>.</v>
      </c>
      <c r="DA12" s="141" t="str">
        <f>IF(DA$2&gt;Input_Tidshorisont,BlankTegn,IF(DA$2=0,SUM(Materialedata[[#This Row],[A1-A3/m²]:[A4/m²]]),
CZ12+IF(DA$2=Input_Tidshorisont,SUM(Materialedata[[#This Row],[C3/m²]:[C4/m²]]),IF(MOD(DA$2,Materialedata[[#This Row],[Levetid]])=0,SUM(Materialedata[[#This Row],[A1-A3/m²]:[C4/m²]]),0))
))</f>
        <v>.</v>
      </c>
      <c r="DB12" s="141" t="str">
        <f>IF(DB$2&gt;Input_Tidshorisont,BlankTegn,IF(DB$2=0,SUM(Materialedata[[#This Row],[A1-A3/m²]:[A4/m²]]),
DA12+IF(DB$2=Input_Tidshorisont,SUM(Materialedata[[#This Row],[C3/m²]:[C4/m²]]),IF(MOD(DB$2,Materialedata[[#This Row],[Levetid]])=0,SUM(Materialedata[[#This Row],[A1-A3/m²]:[C4/m²]]),0))
))</f>
        <v>.</v>
      </c>
      <c r="DC12" s="141" t="str">
        <f>IF(DC$2&gt;Input_Tidshorisont,BlankTegn,IF(DC$2=0,SUM(Materialedata[[#This Row],[A1-A3/m²]:[A4/m²]]),
DB12+IF(DC$2=Input_Tidshorisont,SUM(Materialedata[[#This Row],[C3/m²]:[C4/m²]]),IF(MOD(DC$2,Materialedata[[#This Row],[Levetid]])=0,SUM(Materialedata[[#This Row],[A1-A3/m²]:[C4/m²]]),0))
))</f>
        <v>.</v>
      </c>
      <c r="DD12" s="141" t="str">
        <f>IF(DD$2&gt;Input_Tidshorisont,BlankTegn,IF(DD$2=0,SUM(Materialedata[[#This Row],[A1-A3/m²]:[A4/m²]]),
DC12+IF(DD$2=Input_Tidshorisont,SUM(Materialedata[[#This Row],[C3/m²]:[C4/m²]]),IF(MOD(DD$2,Materialedata[[#This Row],[Levetid]])=0,SUM(Materialedata[[#This Row],[A1-A3/m²]:[C4/m²]]),0))
))</f>
        <v>.</v>
      </c>
      <c r="DE12" s="141" t="str">
        <f>IF(DE$2&gt;Input_Tidshorisont,BlankTegn,IF(DE$2=0,SUM(Materialedata[[#This Row],[A1-A3/m²]:[A4/m²]]),
DD12+IF(DE$2=Input_Tidshorisont,SUM(Materialedata[[#This Row],[C3/m²]:[C4/m²]]),IF(MOD(DE$2,Materialedata[[#This Row],[Levetid]])=0,SUM(Materialedata[[#This Row],[A1-A3/m²]:[C4/m²]]),0))
))</f>
        <v>.</v>
      </c>
      <c r="DF12" s="141" t="str">
        <f>IF(DF$2&gt;Input_Tidshorisont,BlankTegn,IF(DF$2=0,SUM(Materialedata[[#This Row],[A1-A3/m²]:[A4/m²]]),
DE12+IF(DF$2=Input_Tidshorisont,SUM(Materialedata[[#This Row],[C3/m²]:[C4/m²]]),IF(MOD(DF$2,Materialedata[[#This Row],[Levetid]])=0,SUM(Materialedata[[#This Row],[A1-A3/m²]:[C4/m²]]),0))
))</f>
        <v>.</v>
      </c>
      <c r="DG12" s="141" t="str">
        <f>IF(DG$2&gt;Input_Tidshorisont,BlankTegn,IF(DG$2=0,SUM(Materialedata[[#This Row],[A1-A3/m²]:[A4/m²]]),
DF12+IF(DG$2=Input_Tidshorisont,SUM(Materialedata[[#This Row],[C3/m²]:[C4/m²]]),IF(MOD(DG$2,Materialedata[[#This Row],[Levetid]])=0,SUM(Materialedata[[#This Row],[A1-A3/m²]:[C4/m²]]),0))
))</f>
        <v>.</v>
      </c>
      <c r="DH12" s="141" t="str">
        <f>IF(DH$2&gt;Input_Tidshorisont,BlankTegn,IF(DH$2=0,SUM(Materialedata[[#This Row],[A1-A3/m²]:[A4/m²]]),
DG12+IF(DH$2=Input_Tidshorisont,SUM(Materialedata[[#This Row],[C3/m²]:[C4/m²]]),IF(MOD(DH$2,Materialedata[[#This Row],[Levetid]])=0,SUM(Materialedata[[#This Row],[A1-A3/m²]:[C4/m²]]),0))
))</f>
        <v>.</v>
      </c>
      <c r="DI12" s="141" t="str">
        <f>IF(DI$2&gt;Input_Tidshorisont,BlankTegn,IF(DI$2=0,SUM(Materialedata[[#This Row],[A1-A3/m²]:[A4/m²]]),
DH12+IF(DI$2=Input_Tidshorisont,SUM(Materialedata[[#This Row],[C3/m²]:[C4/m²]]),IF(MOD(DI$2,Materialedata[[#This Row],[Levetid]])=0,SUM(Materialedata[[#This Row],[A1-A3/m²]:[C4/m²]]),0))
))</f>
        <v>.</v>
      </c>
      <c r="DJ12" s="141" t="str">
        <f>IF(DJ$2&gt;Input_Tidshorisont,BlankTegn,IF(DJ$2=0,SUM(Materialedata[[#This Row],[A1-A3/m²]:[A4/m²]]),
DI12+IF(DJ$2=Input_Tidshorisont,SUM(Materialedata[[#This Row],[C3/m²]:[C4/m²]]),IF(MOD(DJ$2,Materialedata[[#This Row],[Levetid]])=0,SUM(Materialedata[[#This Row],[A1-A3/m²]:[C4/m²]]),0))
))</f>
        <v>.</v>
      </c>
      <c r="DK12" s="141" t="str">
        <f>IF(DK$2&gt;Input_Tidshorisont,BlankTegn,IF(DK$2=0,SUM(Materialedata[[#This Row],[A1-A3/m²]:[A4/m²]]),
DJ12+IF(DK$2=Input_Tidshorisont,SUM(Materialedata[[#This Row],[C3/m²]:[C4/m²]]),IF(MOD(DK$2,Materialedata[[#This Row],[Levetid]])=0,SUM(Materialedata[[#This Row],[A1-A3/m²]:[C4/m²]]),0))
))</f>
        <v>.</v>
      </c>
      <c r="DL12" s="141" t="str">
        <f>IF(DL$2&gt;Input_Tidshorisont,BlankTegn,IF(DL$2=0,SUM(Materialedata[[#This Row],[A1-A3/m²]:[A4/m²]]),
DK12+IF(DL$2=Input_Tidshorisont,SUM(Materialedata[[#This Row],[C3/m²]:[C4/m²]]),IF(MOD(DL$2,Materialedata[[#This Row],[Levetid]])=0,SUM(Materialedata[[#This Row],[A1-A3/m²]:[C4/m²]]),0))
))</f>
        <v>.</v>
      </c>
      <c r="DM12" s="19"/>
    </row>
    <row r="13" spans="1:117">
      <c r="A13" s="182" t="s">
        <v>42</v>
      </c>
      <c r="B13" s="182" t="s">
        <v>146</v>
      </c>
      <c r="C13" s="148" t="s">
        <v>144</v>
      </c>
      <c r="D13" s="180" t="s">
        <v>276</v>
      </c>
      <c r="E13" s="180" t="s">
        <v>276</v>
      </c>
      <c r="F13" s="182" t="s">
        <v>140</v>
      </c>
      <c r="G13" s="182">
        <v>120</v>
      </c>
      <c r="H13" s="183">
        <v>500</v>
      </c>
      <c r="I13" s="193">
        <f>(0.05*0.1*2)/1.2*Materialedata[[#This Row],[Densitet]]</f>
        <v>4.1666666666666679</v>
      </c>
      <c r="J13" s="184" t="s">
        <v>101</v>
      </c>
      <c r="K13" s="182">
        <v>-610</v>
      </c>
      <c r="L13" s="182" t="s">
        <v>206</v>
      </c>
      <c r="M13" s="185">
        <f>IF(ISBLANK(Materialedata[[#This Row],[A4-gruppe]]),BlankTegn,INDEX(Byggeproces[GWP],MATCH(Materialedata[[#This Row],[A4-gruppe]],Byggeproces[Gruppe/Undergruppe],0)))</f>
        <v>7.4000000000000003E-3</v>
      </c>
      <c r="N13" s="182">
        <v>743</v>
      </c>
      <c r="O13" s="182">
        <v>0</v>
      </c>
      <c r="P13" s="182">
        <v>-395</v>
      </c>
      <c r="Q13" s="279">
        <f>Materialedata[[#This Row],[A1-A3/standardenhed]]*Materialedata[[#This Row],[Mængde/m²]]/Materialedata[[#This Row],[Densitet]]</f>
        <v>-5.0833333333333348</v>
      </c>
      <c r="R13" s="276" cm="1">
        <f t="array" ref="R13">IFERROR(_xlfn.IFS(Materialedata[[#This Row],[Mængde-enhed]]="kg/m²",Materialedata[[#This Row],[A4/kg]]*Materialedata[[#This Row],[Mængde/m²]],Materialedata[[#This Row],[Mængde-enhed]]="m³/m²",Materialedata[[#This Row],[A4/kg]]*Materialedata[[#This Row],[Mængde/m²]]*Materialedata[[#This Row],[Densitet]]),"N/A")</f>
        <v>3.0833333333333345E-2</v>
      </c>
      <c r="S13" s="188">
        <f>Materialedata[[#This Row],[C3/enhed]]*Materialedata[[#This Row],[Mængde/m²]]/Materialedata[[#This Row],[Densitet]]</f>
        <v>6.1916666666666691</v>
      </c>
      <c r="T13" s="188">
        <f>Materialedata[[#This Row],[C4/enhed]]*Materialedata[[#This Row],[Mængde/m²]]/Materialedata[[#This Row],[Densitet]]</f>
        <v>0</v>
      </c>
      <c r="U13" s="188">
        <f>Materialedata[[#This Row],[D/enhed]]*Materialedata[[#This Row],[Mængde/m²]]/Materialedata[[#This Row],[Densitet]]</f>
        <v>-3.2916666666666674</v>
      </c>
      <c r="V13" s="150">
        <f>IFERROR(INDEX(Range_Materiale_Genbrug,MATCH(Materialedata[[#This Row],[Komponent]],Facadekomponenter,0)),BlankTegn)</f>
        <v>0</v>
      </c>
      <c r="W13" s="150">
        <f>IFERROR(1-Materialedata[[#This Row],[Genbrug]],BlankTegn)</f>
        <v>1</v>
      </c>
      <c r="X13" s="186">
        <f>IFERROR(Materialedata[[#This Row],[A1-A3/m²_nyt]]*Materialedata[[#This Row],[Nyt]],BlankTegn)</f>
        <v>-5.0833333333333348</v>
      </c>
      <c r="Y13" s="186">
        <f>Materialedata[[#This Row],[A4/m²_nyt]]</f>
        <v>3.0833333333333345E-2</v>
      </c>
      <c r="Z13" s="186">
        <f>IFERROR(Materialedata[[#This Row],[C3/m²_nyt]]*Materialedata[[#This Row],[Nyt]],BlankTegn)</f>
        <v>6.1916666666666691</v>
      </c>
      <c r="AA13" s="186">
        <f>IFERROR(Materialedata[[#This Row],[C4/m²_nyt]]*Materialedata[[#This Row],[Nyt]],BlankTegn)</f>
        <v>0</v>
      </c>
      <c r="AB13" s="186">
        <f>IFERROR(Materialedata[[#This Row],[D/m²_nyt]]*Materialedata[[#This Row],[Nyt]],BlankTegn)</f>
        <v>-3.2916666666666674</v>
      </c>
      <c r="AC13" s="187">
        <v>99.25</v>
      </c>
      <c r="AD13" s="188" t="s">
        <v>338</v>
      </c>
      <c r="AE13" s="277">
        <f>1/0.6</f>
        <v>1.6666666666666667</v>
      </c>
      <c r="AF13" s="189">
        <f>Materialedata[[#This Row],[Pris/enhed]]*Materialedata[[#This Row],[Omregning]]</f>
        <v>165.41666666666669</v>
      </c>
      <c r="AG13" s="190">
        <v>0.02</v>
      </c>
      <c r="AH13" s="191">
        <v>1</v>
      </c>
      <c r="AI13" s="162">
        <v>0</v>
      </c>
      <c r="AJ13" s="141">
        <f>IF(AJ$2&gt;Input_Tidshorisont,BlankTegn,IF(AJ$2=0,SUM(Materialedata[[#This Row],[A1-A3/m²]:[A4/m²]]),
AI13+IF(AJ$2=Input_Tidshorisont,SUM(Materialedata[[#This Row],[C3/m²]:[C4/m²]]),IF(MOD(AJ$2,Materialedata[[#This Row],[Levetid]])=0,SUM(Materialedata[[#This Row],[A1-A3/m²]:[C4/m²]]),0))
))</f>
        <v>-5.0525000000000011</v>
      </c>
      <c r="AK13" s="141">
        <f>IF(AK$2&gt;Input_Tidshorisont,BlankTegn,IF(AK$2=0,SUM(Materialedata[[#This Row],[A1-A3/m²]:[A4/m²]]),
AJ13+IF(AK$2=Input_Tidshorisont,SUM(Materialedata[[#This Row],[C3/m²]:[C4/m²]]),IF(MOD(AK$2,Materialedata[[#This Row],[Levetid]])=0,SUM(Materialedata[[#This Row],[A1-A3/m²]:[C4/m²]]),0))
))</f>
        <v>-5.0525000000000011</v>
      </c>
      <c r="AL13" s="141">
        <f>IF(AL$2&gt;Input_Tidshorisont,BlankTegn,IF(AL$2=0,SUM(Materialedata[[#This Row],[A1-A3/m²]:[A4/m²]]),
AK13+IF(AL$2=Input_Tidshorisont,SUM(Materialedata[[#This Row],[C3/m²]:[C4/m²]]),IF(MOD(AL$2,Materialedata[[#This Row],[Levetid]])=0,SUM(Materialedata[[#This Row],[A1-A3/m²]:[C4/m²]]),0))
))</f>
        <v>-5.0525000000000011</v>
      </c>
      <c r="AM13" s="141">
        <f>IF(AM$2&gt;Input_Tidshorisont,BlankTegn,IF(AM$2=0,SUM(Materialedata[[#This Row],[A1-A3/m²]:[A4/m²]]),
AL13+IF(AM$2=Input_Tidshorisont,SUM(Materialedata[[#This Row],[C3/m²]:[C4/m²]]),IF(MOD(AM$2,Materialedata[[#This Row],[Levetid]])=0,SUM(Materialedata[[#This Row],[A1-A3/m²]:[C4/m²]]),0))
))</f>
        <v>-5.0525000000000011</v>
      </c>
      <c r="AN13" s="141">
        <f>IF(AN$2&gt;Input_Tidshorisont,BlankTegn,IF(AN$2=0,SUM(Materialedata[[#This Row],[A1-A3/m²]:[A4/m²]]),
AM13+IF(AN$2=Input_Tidshorisont,SUM(Materialedata[[#This Row],[C3/m²]:[C4/m²]]),IF(MOD(AN$2,Materialedata[[#This Row],[Levetid]])=0,SUM(Materialedata[[#This Row],[A1-A3/m²]:[C4/m²]]),0))
))</f>
        <v>-5.0525000000000011</v>
      </c>
      <c r="AO13" s="141">
        <f>IF(AO$2&gt;Input_Tidshorisont,BlankTegn,IF(AO$2=0,SUM(Materialedata[[#This Row],[A1-A3/m²]:[A4/m²]]),
AN13+IF(AO$2=Input_Tidshorisont,SUM(Materialedata[[#This Row],[C3/m²]:[C4/m²]]),IF(MOD(AO$2,Materialedata[[#This Row],[Levetid]])=0,SUM(Materialedata[[#This Row],[A1-A3/m²]:[C4/m²]]),0))
))</f>
        <v>-5.0525000000000011</v>
      </c>
      <c r="AP13" s="141">
        <f>IF(AP$2&gt;Input_Tidshorisont,BlankTegn,IF(AP$2=0,SUM(Materialedata[[#This Row],[A1-A3/m²]:[A4/m²]]),
AO13+IF(AP$2=Input_Tidshorisont,SUM(Materialedata[[#This Row],[C3/m²]:[C4/m²]]),IF(MOD(AP$2,Materialedata[[#This Row],[Levetid]])=0,SUM(Materialedata[[#This Row],[A1-A3/m²]:[C4/m²]]),0))
))</f>
        <v>-5.0525000000000011</v>
      </c>
      <c r="AQ13" s="141">
        <f>IF(AQ$2&gt;Input_Tidshorisont,BlankTegn,IF(AQ$2=0,SUM(Materialedata[[#This Row],[A1-A3/m²]:[A4/m²]]),
AP13+IF(AQ$2=Input_Tidshorisont,SUM(Materialedata[[#This Row],[C3/m²]:[C4/m²]]),IF(MOD(AQ$2,Materialedata[[#This Row],[Levetid]])=0,SUM(Materialedata[[#This Row],[A1-A3/m²]:[C4/m²]]),0))
))</f>
        <v>-5.0525000000000011</v>
      </c>
      <c r="AR13" s="141">
        <f>IF(AR$2&gt;Input_Tidshorisont,BlankTegn,IF(AR$2=0,SUM(Materialedata[[#This Row],[A1-A3/m²]:[A4/m²]]),
AQ13+IF(AR$2=Input_Tidshorisont,SUM(Materialedata[[#This Row],[C3/m²]:[C4/m²]]),IF(MOD(AR$2,Materialedata[[#This Row],[Levetid]])=0,SUM(Materialedata[[#This Row],[A1-A3/m²]:[C4/m²]]),0))
))</f>
        <v>-5.0525000000000011</v>
      </c>
      <c r="AS13" s="141">
        <f>IF(AS$2&gt;Input_Tidshorisont,BlankTegn,IF(AS$2=0,SUM(Materialedata[[#This Row],[A1-A3/m²]:[A4/m²]]),
AR13+IF(AS$2=Input_Tidshorisont,SUM(Materialedata[[#This Row],[C3/m²]:[C4/m²]]),IF(MOD(AS$2,Materialedata[[#This Row],[Levetid]])=0,SUM(Materialedata[[#This Row],[A1-A3/m²]:[C4/m²]]),0))
))</f>
        <v>-5.0525000000000011</v>
      </c>
      <c r="AT13" s="141">
        <f>IF(AT$2&gt;Input_Tidshorisont,BlankTegn,IF(AT$2=0,SUM(Materialedata[[#This Row],[A1-A3/m²]:[A4/m²]]),
AS13+IF(AT$2=Input_Tidshorisont,SUM(Materialedata[[#This Row],[C3/m²]:[C4/m²]]),IF(MOD(AT$2,Materialedata[[#This Row],[Levetid]])=0,SUM(Materialedata[[#This Row],[A1-A3/m²]:[C4/m²]]),0))
))</f>
        <v>-5.0525000000000011</v>
      </c>
      <c r="AU13" s="141">
        <f>IF(AU$2&gt;Input_Tidshorisont,BlankTegn,IF(AU$2=0,SUM(Materialedata[[#This Row],[A1-A3/m²]:[A4/m²]]),
AT13+IF(AU$2=Input_Tidshorisont,SUM(Materialedata[[#This Row],[C3/m²]:[C4/m²]]),IF(MOD(AU$2,Materialedata[[#This Row],[Levetid]])=0,SUM(Materialedata[[#This Row],[A1-A3/m²]:[C4/m²]]),0))
))</f>
        <v>-5.0525000000000011</v>
      </c>
      <c r="AV13" s="141">
        <f>IF(AV$2&gt;Input_Tidshorisont,BlankTegn,IF(AV$2=0,SUM(Materialedata[[#This Row],[A1-A3/m²]:[A4/m²]]),
AU13+IF(AV$2=Input_Tidshorisont,SUM(Materialedata[[#This Row],[C3/m²]:[C4/m²]]),IF(MOD(AV$2,Materialedata[[#This Row],[Levetid]])=0,SUM(Materialedata[[#This Row],[A1-A3/m²]:[C4/m²]]),0))
))</f>
        <v>-5.0525000000000011</v>
      </c>
      <c r="AW13" s="141">
        <f>IF(AW$2&gt;Input_Tidshorisont,BlankTegn,IF(AW$2=0,SUM(Materialedata[[#This Row],[A1-A3/m²]:[A4/m²]]),
AV13+IF(AW$2=Input_Tidshorisont,SUM(Materialedata[[#This Row],[C3/m²]:[C4/m²]]),IF(MOD(AW$2,Materialedata[[#This Row],[Levetid]])=0,SUM(Materialedata[[#This Row],[A1-A3/m²]:[C4/m²]]),0))
))</f>
        <v>-5.0525000000000011</v>
      </c>
      <c r="AX13" s="141">
        <f>IF(AX$2&gt;Input_Tidshorisont,BlankTegn,IF(AX$2=0,SUM(Materialedata[[#This Row],[A1-A3/m²]:[A4/m²]]),
AW13+IF(AX$2=Input_Tidshorisont,SUM(Materialedata[[#This Row],[C3/m²]:[C4/m²]]),IF(MOD(AX$2,Materialedata[[#This Row],[Levetid]])=0,SUM(Materialedata[[#This Row],[A1-A3/m²]:[C4/m²]]),0))
))</f>
        <v>-5.0525000000000011</v>
      </c>
      <c r="AY13" s="141">
        <f>IF(AY$2&gt;Input_Tidshorisont,BlankTegn,IF(AY$2=0,SUM(Materialedata[[#This Row],[A1-A3/m²]:[A4/m²]]),
AX13+IF(AY$2=Input_Tidshorisont,SUM(Materialedata[[#This Row],[C3/m²]:[C4/m²]]),IF(MOD(AY$2,Materialedata[[#This Row],[Levetid]])=0,SUM(Materialedata[[#This Row],[A1-A3/m²]:[C4/m²]]),0))
))</f>
        <v>-5.0525000000000011</v>
      </c>
      <c r="AZ13" s="141">
        <f>IF(AZ$2&gt;Input_Tidshorisont,BlankTegn,IF(AZ$2=0,SUM(Materialedata[[#This Row],[A1-A3/m²]:[A4/m²]]),
AY13+IF(AZ$2=Input_Tidshorisont,SUM(Materialedata[[#This Row],[C3/m²]:[C4/m²]]),IF(MOD(AZ$2,Materialedata[[#This Row],[Levetid]])=0,SUM(Materialedata[[#This Row],[A1-A3/m²]:[C4/m²]]),0))
))</f>
        <v>-5.0525000000000011</v>
      </c>
      <c r="BA13" s="141">
        <f>IF(BA$2&gt;Input_Tidshorisont,BlankTegn,IF(BA$2=0,SUM(Materialedata[[#This Row],[A1-A3/m²]:[A4/m²]]),
AZ13+IF(BA$2=Input_Tidshorisont,SUM(Materialedata[[#This Row],[C3/m²]:[C4/m²]]),IF(MOD(BA$2,Materialedata[[#This Row],[Levetid]])=0,SUM(Materialedata[[#This Row],[A1-A3/m²]:[C4/m²]]),0))
))</f>
        <v>-5.0525000000000011</v>
      </c>
      <c r="BB13" s="141">
        <f>IF(BB$2&gt;Input_Tidshorisont,BlankTegn,IF(BB$2=0,SUM(Materialedata[[#This Row],[A1-A3/m²]:[A4/m²]]),
BA13+IF(BB$2=Input_Tidshorisont,SUM(Materialedata[[#This Row],[C3/m²]:[C4/m²]]),IF(MOD(BB$2,Materialedata[[#This Row],[Levetid]])=0,SUM(Materialedata[[#This Row],[A1-A3/m²]:[C4/m²]]),0))
))</f>
        <v>-5.0525000000000011</v>
      </c>
      <c r="BC13" s="141">
        <f>IF(BC$2&gt;Input_Tidshorisont,BlankTegn,IF(BC$2=0,SUM(Materialedata[[#This Row],[A1-A3/m²]:[A4/m²]]),
BB13+IF(BC$2=Input_Tidshorisont,SUM(Materialedata[[#This Row],[C3/m²]:[C4/m²]]),IF(MOD(BC$2,Materialedata[[#This Row],[Levetid]])=0,SUM(Materialedata[[#This Row],[A1-A3/m²]:[C4/m²]]),0))
))</f>
        <v>-5.0525000000000011</v>
      </c>
      <c r="BD13" s="141">
        <f>IF(BD$2&gt;Input_Tidshorisont,BlankTegn,IF(BD$2=0,SUM(Materialedata[[#This Row],[A1-A3/m²]:[A4/m²]]),
BC13+IF(BD$2=Input_Tidshorisont,SUM(Materialedata[[#This Row],[C3/m²]:[C4/m²]]),IF(MOD(BD$2,Materialedata[[#This Row],[Levetid]])=0,SUM(Materialedata[[#This Row],[A1-A3/m²]:[C4/m²]]),0))
))</f>
        <v>-5.0525000000000011</v>
      </c>
      <c r="BE13" s="141">
        <f>IF(BE$2&gt;Input_Tidshorisont,BlankTegn,IF(BE$2=0,SUM(Materialedata[[#This Row],[A1-A3/m²]:[A4/m²]]),
BD13+IF(BE$2=Input_Tidshorisont,SUM(Materialedata[[#This Row],[C3/m²]:[C4/m²]]),IF(MOD(BE$2,Materialedata[[#This Row],[Levetid]])=0,SUM(Materialedata[[#This Row],[A1-A3/m²]:[C4/m²]]),0))
))</f>
        <v>-5.0525000000000011</v>
      </c>
      <c r="BF13" s="141">
        <f>IF(BF$2&gt;Input_Tidshorisont,BlankTegn,IF(BF$2=0,SUM(Materialedata[[#This Row],[A1-A3/m²]:[A4/m²]]),
BE13+IF(BF$2=Input_Tidshorisont,SUM(Materialedata[[#This Row],[C3/m²]:[C4/m²]]),IF(MOD(BF$2,Materialedata[[#This Row],[Levetid]])=0,SUM(Materialedata[[#This Row],[A1-A3/m²]:[C4/m²]]),0))
))</f>
        <v>-5.0525000000000011</v>
      </c>
      <c r="BG13" s="141">
        <f>IF(BG$2&gt;Input_Tidshorisont,BlankTegn,IF(BG$2=0,SUM(Materialedata[[#This Row],[A1-A3/m²]:[A4/m²]]),
BF13+IF(BG$2=Input_Tidshorisont,SUM(Materialedata[[#This Row],[C3/m²]:[C4/m²]]),IF(MOD(BG$2,Materialedata[[#This Row],[Levetid]])=0,SUM(Materialedata[[#This Row],[A1-A3/m²]:[C4/m²]]),0))
))</f>
        <v>-5.0525000000000011</v>
      </c>
      <c r="BH13" s="141">
        <f>IF(BH$2&gt;Input_Tidshorisont,BlankTegn,IF(BH$2=0,SUM(Materialedata[[#This Row],[A1-A3/m²]:[A4/m²]]),
BG13+IF(BH$2=Input_Tidshorisont,SUM(Materialedata[[#This Row],[C3/m²]:[C4/m²]]),IF(MOD(BH$2,Materialedata[[#This Row],[Levetid]])=0,SUM(Materialedata[[#This Row],[A1-A3/m²]:[C4/m²]]),0))
))</f>
        <v>-5.0525000000000011</v>
      </c>
      <c r="BI13" s="141">
        <f>IF(BI$2&gt;Input_Tidshorisont,BlankTegn,IF(BI$2=0,SUM(Materialedata[[#This Row],[A1-A3/m²]:[A4/m²]]),
BH13+IF(BI$2=Input_Tidshorisont,SUM(Materialedata[[#This Row],[C3/m²]:[C4/m²]]),IF(MOD(BI$2,Materialedata[[#This Row],[Levetid]])=0,SUM(Materialedata[[#This Row],[A1-A3/m²]:[C4/m²]]),0))
))</f>
        <v>-5.0525000000000011</v>
      </c>
      <c r="BJ13" s="141">
        <f>IF(BJ$2&gt;Input_Tidshorisont,BlankTegn,IF(BJ$2=0,SUM(Materialedata[[#This Row],[A1-A3/m²]:[A4/m²]]),
BI13+IF(BJ$2=Input_Tidshorisont,SUM(Materialedata[[#This Row],[C3/m²]:[C4/m²]]),IF(MOD(BJ$2,Materialedata[[#This Row],[Levetid]])=0,SUM(Materialedata[[#This Row],[A1-A3/m²]:[C4/m²]]),0))
))</f>
        <v>-5.0525000000000011</v>
      </c>
      <c r="BK13" s="141">
        <f>IF(BK$2&gt;Input_Tidshorisont,BlankTegn,IF(BK$2=0,SUM(Materialedata[[#This Row],[A1-A3/m²]:[A4/m²]]),
BJ13+IF(BK$2=Input_Tidshorisont,SUM(Materialedata[[#This Row],[C3/m²]:[C4/m²]]),IF(MOD(BK$2,Materialedata[[#This Row],[Levetid]])=0,SUM(Materialedata[[#This Row],[A1-A3/m²]:[C4/m²]]),0))
))</f>
        <v>-5.0525000000000011</v>
      </c>
      <c r="BL13" s="141">
        <f>IF(BL$2&gt;Input_Tidshorisont,BlankTegn,IF(BL$2=0,SUM(Materialedata[[#This Row],[A1-A3/m²]:[A4/m²]]),
BK13+IF(BL$2=Input_Tidshorisont,SUM(Materialedata[[#This Row],[C3/m²]:[C4/m²]]),IF(MOD(BL$2,Materialedata[[#This Row],[Levetid]])=0,SUM(Materialedata[[#This Row],[A1-A3/m²]:[C4/m²]]),0))
))</f>
        <v>-5.0525000000000011</v>
      </c>
      <c r="BM13" s="141">
        <f>IF(BM$2&gt;Input_Tidshorisont,BlankTegn,IF(BM$2=0,SUM(Materialedata[[#This Row],[A1-A3/m²]:[A4/m²]]),
BL13+IF(BM$2=Input_Tidshorisont,SUM(Materialedata[[#This Row],[C3/m²]:[C4/m²]]),IF(MOD(BM$2,Materialedata[[#This Row],[Levetid]])=0,SUM(Materialedata[[#This Row],[A1-A3/m²]:[C4/m²]]),0))
))</f>
        <v>-5.0525000000000011</v>
      </c>
      <c r="BN13" s="141">
        <f>IF(BN$2&gt;Input_Tidshorisont,BlankTegn,IF(BN$2=0,SUM(Materialedata[[#This Row],[A1-A3/m²]:[A4/m²]]),
BM13+IF(BN$2=Input_Tidshorisont,SUM(Materialedata[[#This Row],[C3/m²]:[C4/m²]]),IF(MOD(BN$2,Materialedata[[#This Row],[Levetid]])=0,SUM(Materialedata[[#This Row],[A1-A3/m²]:[C4/m²]]),0))
))</f>
        <v>-5.0525000000000011</v>
      </c>
      <c r="BO13" s="141">
        <f>IF(BO$2&gt;Input_Tidshorisont,BlankTegn,IF(BO$2=0,SUM(Materialedata[[#This Row],[A1-A3/m²]:[A4/m²]]),
BN13+IF(BO$2=Input_Tidshorisont,SUM(Materialedata[[#This Row],[C3/m²]:[C4/m²]]),IF(MOD(BO$2,Materialedata[[#This Row],[Levetid]])=0,SUM(Materialedata[[#This Row],[A1-A3/m²]:[C4/m²]]),0))
))</f>
        <v>-5.0525000000000011</v>
      </c>
      <c r="BP13" s="141">
        <f>IF(BP$2&gt;Input_Tidshorisont,BlankTegn,IF(BP$2=0,SUM(Materialedata[[#This Row],[A1-A3/m²]:[A4/m²]]),
BO13+IF(BP$2=Input_Tidshorisont,SUM(Materialedata[[#This Row],[C3/m²]:[C4/m²]]),IF(MOD(BP$2,Materialedata[[#This Row],[Levetid]])=0,SUM(Materialedata[[#This Row],[A1-A3/m²]:[C4/m²]]),0))
))</f>
        <v>-5.0525000000000011</v>
      </c>
      <c r="BQ13" s="141">
        <f>IF(BQ$2&gt;Input_Tidshorisont,BlankTegn,IF(BQ$2=0,SUM(Materialedata[[#This Row],[A1-A3/m²]:[A4/m²]]),
BP13+IF(BQ$2=Input_Tidshorisont,SUM(Materialedata[[#This Row],[C3/m²]:[C4/m²]]),IF(MOD(BQ$2,Materialedata[[#This Row],[Levetid]])=0,SUM(Materialedata[[#This Row],[A1-A3/m²]:[C4/m²]]),0))
))</f>
        <v>-5.0525000000000011</v>
      </c>
      <c r="BR13" s="141">
        <f>IF(BR$2&gt;Input_Tidshorisont,BlankTegn,IF(BR$2=0,SUM(Materialedata[[#This Row],[A1-A3/m²]:[A4/m²]]),
BQ13+IF(BR$2=Input_Tidshorisont,SUM(Materialedata[[#This Row],[C3/m²]:[C4/m²]]),IF(MOD(BR$2,Materialedata[[#This Row],[Levetid]])=0,SUM(Materialedata[[#This Row],[A1-A3/m²]:[C4/m²]]),0))
))</f>
        <v>-5.0525000000000011</v>
      </c>
      <c r="BS13" s="141">
        <f>IF(BS$2&gt;Input_Tidshorisont,BlankTegn,IF(BS$2=0,SUM(Materialedata[[#This Row],[A1-A3/m²]:[A4/m²]]),
BR13+IF(BS$2=Input_Tidshorisont,SUM(Materialedata[[#This Row],[C3/m²]:[C4/m²]]),IF(MOD(BS$2,Materialedata[[#This Row],[Levetid]])=0,SUM(Materialedata[[#This Row],[A1-A3/m²]:[C4/m²]]),0))
))</f>
        <v>-5.0525000000000011</v>
      </c>
      <c r="BT13" s="141">
        <f>IF(BT$2&gt;Input_Tidshorisont,BlankTegn,IF(BT$2=0,SUM(Materialedata[[#This Row],[A1-A3/m²]:[A4/m²]]),
BS13+IF(BT$2=Input_Tidshorisont,SUM(Materialedata[[#This Row],[C3/m²]:[C4/m²]]),IF(MOD(BT$2,Materialedata[[#This Row],[Levetid]])=0,SUM(Materialedata[[#This Row],[A1-A3/m²]:[C4/m²]]),0))
))</f>
        <v>-5.0525000000000011</v>
      </c>
      <c r="BU13" s="141">
        <f>IF(BU$2&gt;Input_Tidshorisont,BlankTegn,IF(BU$2=0,SUM(Materialedata[[#This Row],[A1-A3/m²]:[A4/m²]]),
BT13+IF(BU$2=Input_Tidshorisont,SUM(Materialedata[[#This Row],[C3/m²]:[C4/m²]]),IF(MOD(BU$2,Materialedata[[#This Row],[Levetid]])=0,SUM(Materialedata[[#This Row],[A1-A3/m²]:[C4/m²]]),0))
))</f>
        <v>-5.0525000000000011</v>
      </c>
      <c r="BV13" s="141">
        <f>IF(BV$2&gt;Input_Tidshorisont,BlankTegn,IF(BV$2=0,SUM(Materialedata[[#This Row],[A1-A3/m²]:[A4/m²]]),
BU13+IF(BV$2=Input_Tidshorisont,SUM(Materialedata[[#This Row],[C3/m²]:[C4/m²]]),IF(MOD(BV$2,Materialedata[[#This Row],[Levetid]])=0,SUM(Materialedata[[#This Row],[A1-A3/m²]:[C4/m²]]),0))
))</f>
        <v>-5.0525000000000011</v>
      </c>
      <c r="BW13" s="141">
        <f>IF(BW$2&gt;Input_Tidshorisont,BlankTegn,IF(BW$2=0,SUM(Materialedata[[#This Row],[A1-A3/m²]:[A4/m²]]),
BV13+IF(BW$2=Input_Tidshorisont,SUM(Materialedata[[#This Row],[C3/m²]:[C4/m²]]),IF(MOD(BW$2,Materialedata[[#This Row],[Levetid]])=0,SUM(Materialedata[[#This Row],[A1-A3/m²]:[C4/m²]]),0))
))</f>
        <v>-5.0525000000000011</v>
      </c>
      <c r="BX13" s="141">
        <f>IF(BX$2&gt;Input_Tidshorisont,BlankTegn,IF(BX$2=0,SUM(Materialedata[[#This Row],[A1-A3/m²]:[A4/m²]]),
BW13+IF(BX$2=Input_Tidshorisont,SUM(Materialedata[[#This Row],[C3/m²]:[C4/m²]]),IF(MOD(BX$2,Materialedata[[#This Row],[Levetid]])=0,SUM(Materialedata[[#This Row],[A1-A3/m²]:[C4/m²]]),0))
))</f>
        <v>-5.0525000000000011</v>
      </c>
      <c r="BY13" s="141">
        <f>IF(BY$2&gt;Input_Tidshorisont,BlankTegn,IF(BY$2=0,SUM(Materialedata[[#This Row],[A1-A3/m²]:[A4/m²]]),
BX13+IF(BY$2=Input_Tidshorisont,SUM(Materialedata[[#This Row],[C3/m²]:[C4/m²]]),IF(MOD(BY$2,Materialedata[[#This Row],[Levetid]])=0,SUM(Materialedata[[#This Row],[A1-A3/m²]:[C4/m²]]),0))
))</f>
        <v>-5.0525000000000011</v>
      </c>
      <c r="BZ13" s="141">
        <f>IF(BZ$2&gt;Input_Tidshorisont,BlankTegn,IF(BZ$2=0,SUM(Materialedata[[#This Row],[A1-A3/m²]:[A4/m²]]),
BY13+IF(BZ$2=Input_Tidshorisont,SUM(Materialedata[[#This Row],[C3/m²]:[C4/m²]]),IF(MOD(BZ$2,Materialedata[[#This Row],[Levetid]])=0,SUM(Materialedata[[#This Row],[A1-A3/m²]:[C4/m²]]),0))
))</f>
        <v>-5.0525000000000011</v>
      </c>
      <c r="CA13" s="141">
        <f>IF(CA$2&gt;Input_Tidshorisont,BlankTegn,IF(CA$2=0,SUM(Materialedata[[#This Row],[A1-A3/m²]:[A4/m²]]),
BZ13+IF(CA$2=Input_Tidshorisont,SUM(Materialedata[[#This Row],[C3/m²]:[C4/m²]]),IF(MOD(CA$2,Materialedata[[#This Row],[Levetid]])=0,SUM(Materialedata[[#This Row],[A1-A3/m²]:[C4/m²]]),0))
))</f>
        <v>-5.0525000000000011</v>
      </c>
      <c r="CB13" s="141">
        <f>IF(CB$2&gt;Input_Tidshorisont,BlankTegn,IF(CB$2=0,SUM(Materialedata[[#This Row],[A1-A3/m²]:[A4/m²]]),
CA13+IF(CB$2=Input_Tidshorisont,SUM(Materialedata[[#This Row],[C3/m²]:[C4/m²]]),IF(MOD(CB$2,Materialedata[[#This Row],[Levetid]])=0,SUM(Materialedata[[#This Row],[A1-A3/m²]:[C4/m²]]),0))
))</f>
        <v>-5.0525000000000011</v>
      </c>
      <c r="CC13" s="141">
        <f>IF(CC$2&gt;Input_Tidshorisont,BlankTegn,IF(CC$2=0,SUM(Materialedata[[#This Row],[A1-A3/m²]:[A4/m²]]),
CB13+IF(CC$2=Input_Tidshorisont,SUM(Materialedata[[#This Row],[C3/m²]:[C4/m²]]),IF(MOD(CC$2,Materialedata[[#This Row],[Levetid]])=0,SUM(Materialedata[[#This Row],[A1-A3/m²]:[C4/m²]]),0))
))</f>
        <v>-5.0525000000000011</v>
      </c>
      <c r="CD13" s="141">
        <f>IF(CD$2&gt;Input_Tidshorisont,BlankTegn,IF(CD$2=0,SUM(Materialedata[[#This Row],[A1-A3/m²]:[A4/m²]]),
CC13+IF(CD$2=Input_Tidshorisont,SUM(Materialedata[[#This Row],[C3/m²]:[C4/m²]]),IF(MOD(CD$2,Materialedata[[#This Row],[Levetid]])=0,SUM(Materialedata[[#This Row],[A1-A3/m²]:[C4/m²]]),0))
))</f>
        <v>-5.0525000000000011</v>
      </c>
      <c r="CE13" s="141">
        <f>IF(CE$2&gt;Input_Tidshorisont,BlankTegn,IF(CE$2=0,SUM(Materialedata[[#This Row],[A1-A3/m²]:[A4/m²]]),
CD13+IF(CE$2=Input_Tidshorisont,SUM(Materialedata[[#This Row],[C3/m²]:[C4/m²]]),IF(MOD(CE$2,Materialedata[[#This Row],[Levetid]])=0,SUM(Materialedata[[#This Row],[A1-A3/m²]:[C4/m²]]),0))
))</f>
        <v>-5.0525000000000011</v>
      </c>
      <c r="CF13" s="141">
        <f>IF(CF$2&gt;Input_Tidshorisont,BlankTegn,IF(CF$2=0,SUM(Materialedata[[#This Row],[A1-A3/m²]:[A4/m²]]),
CE13+IF(CF$2=Input_Tidshorisont,SUM(Materialedata[[#This Row],[C3/m²]:[C4/m²]]),IF(MOD(CF$2,Materialedata[[#This Row],[Levetid]])=0,SUM(Materialedata[[#This Row],[A1-A3/m²]:[C4/m²]]),0))
))</f>
        <v>-5.0525000000000011</v>
      </c>
      <c r="CG13" s="141">
        <f>IF(CG$2&gt;Input_Tidshorisont,BlankTegn,IF(CG$2=0,SUM(Materialedata[[#This Row],[A1-A3/m²]:[A4/m²]]),
CF13+IF(CG$2=Input_Tidshorisont,SUM(Materialedata[[#This Row],[C3/m²]:[C4/m²]]),IF(MOD(CG$2,Materialedata[[#This Row],[Levetid]])=0,SUM(Materialedata[[#This Row],[A1-A3/m²]:[C4/m²]]),0))
))</f>
        <v>-5.0525000000000011</v>
      </c>
      <c r="CH13" s="141">
        <f>IF(CH$2&gt;Input_Tidshorisont,BlankTegn,IF(CH$2=0,SUM(Materialedata[[#This Row],[A1-A3/m²]:[A4/m²]]),
CG13+IF(CH$2=Input_Tidshorisont,SUM(Materialedata[[#This Row],[C3/m²]:[C4/m²]]),IF(MOD(CH$2,Materialedata[[#This Row],[Levetid]])=0,SUM(Materialedata[[#This Row],[A1-A3/m²]:[C4/m²]]),0))
))</f>
        <v>1.139166666666668</v>
      </c>
      <c r="CI13" s="141" t="str">
        <f>IF(CI$2&gt;Input_Tidshorisont,BlankTegn,IF(CI$2=0,SUM(Materialedata[[#This Row],[A1-A3/m²]:[A4/m²]]),
CH13+IF(CI$2=Input_Tidshorisont,SUM(Materialedata[[#This Row],[C3/m²]:[C4/m²]]),IF(MOD(CI$2,Materialedata[[#This Row],[Levetid]])=0,SUM(Materialedata[[#This Row],[A1-A3/m²]:[C4/m²]]),0))
))</f>
        <v>.</v>
      </c>
      <c r="CJ13" s="141" t="str">
        <f>IF(CJ$2&gt;Input_Tidshorisont,BlankTegn,IF(CJ$2=0,SUM(Materialedata[[#This Row],[A1-A3/m²]:[A4/m²]]),
CI13+IF(CJ$2=Input_Tidshorisont,SUM(Materialedata[[#This Row],[C3/m²]:[C4/m²]]),IF(MOD(CJ$2,Materialedata[[#This Row],[Levetid]])=0,SUM(Materialedata[[#This Row],[A1-A3/m²]:[C4/m²]]),0))
))</f>
        <v>.</v>
      </c>
      <c r="CK13" s="141" t="str">
        <f>IF(CK$2&gt;Input_Tidshorisont,BlankTegn,IF(CK$2=0,SUM(Materialedata[[#This Row],[A1-A3/m²]:[A4/m²]]),
CJ13+IF(CK$2=Input_Tidshorisont,SUM(Materialedata[[#This Row],[C3/m²]:[C4/m²]]),IF(MOD(CK$2,Materialedata[[#This Row],[Levetid]])=0,SUM(Materialedata[[#This Row],[A1-A3/m²]:[C4/m²]]),0))
))</f>
        <v>.</v>
      </c>
      <c r="CL13" s="141" t="str">
        <f>IF(CL$2&gt;Input_Tidshorisont,BlankTegn,IF(CL$2=0,SUM(Materialedata[[#This Row],[A1-A3/m²]:[A4/m²]]),
CK13+IF(CL$2=Input_Tidshorisont,SUM(Materialedata[[#This Row],[C3/m²]:[C4/m²]]),IF(MOD(CL$2,Materialedata[[#This Row],[Levetid]])=0,SUM(Materialedata[[#This Row],[A1-A3/m²]:[C4/m²]]),0))
))</f>
        <v>.</v>
      </c>
      <c r="CM13" s="141" t="str">
        <f>IF(CM$2&gt;Input_Tidshorisont,BlankTegn,IF(CM$2=0,SUM(Materialedata[[#This Row],[A1-A3/m²]:[A4/m²]]),
CL13+IF(CM$2=Input_Tidshorisont,SUM(Materialedata[[#This Row],[C3/m²]:[C4/m²]]),IF(MOD(CM$2,Materialedata[[#This Row],[Levetid]])=0,SUM(Materialedata[[#This Row],[A1-A3/m²]:[C4/m²]]),0))
))</f>
        <v>.</v>
      </c>
      <c r="CN13" s="141" t="str">
        <f>IF(CN$2&gt;Input_Tidshorisont,BlankTegn,IF(CN$2=0,SUM(Materialedata[[#This Row],[A1-A3/m²]:[A4/m²]]),
CM13+IF(CN$2=Input_Tidshorisont,SUM(Materialedata[[#This Row],[C3/m²]:[C4/m²]]),IF(MOD(CN$2,Materialedata[[#This Row],[Levetid]])=0,SUM(Materialedata[[#This Row],[A1-A3/m²]:[C4/m²]]),0))
))</f>
        <v>.</v>
      </c>
      <c r="CO13" s="141" t="str">
        <f>IF(CO$2&gt;Input_Tidshorisont,BlankTegn,IF(CO$2=0,SUM(Materialedata[[#This Row],[A1-A3/m²]:[A4/m²]]),
CN13+IF(CO$2=Input_Tidshorisont,SUM(Materialedata[[#This Row],[C3/m²]:[C4/m²]]),IF(MOD(CO$2,Materialedata[[#This Row],[Levetid]])=0,SUM(Materialedata[[#This Row],[A1-A3/m²]:[C4/m²]]),0))
))</f>
        <v>.</v>
      </c>
      <c r="CP13" s="141" t="str">
        <f>IF(CP$2&gt;Input_Tidshorisont,BlankTegn,IF(CP$2=0,SUM(Materialedata[[#This Row],[A1-A3/m²]:[A4/m²]]),
CO13+IF(CP$2=Input_Tidshorisont,SUM(Materialedata[[#This Row],[C3/m²]:[C4/m²]]),IF(MOD(CP$2,Materialedata[[#This Row],[Levetid]])=0,SUM(Materialedata[[#This Row],[A1-A3/m²]:[C4/m²]]),0))
))</f>
        <v>.</v>
      </c>
      <c r="CQ13" s="141" t="str">
        <f>IF(CQ$2&gt;Input_Tidshorisont,BlankTegn,IF(CQ$2=0,SUM(Materialedata[[#This Row],[A1-A3/m²]:[A4/m²]]),
CP13+IF(CQ$2=Input_Tidshorisont,SUM(Materialedata[[#This Row],[C3/m²]:[C4/m²]]),IF(MOD(CQ$2,Materialedata[[#This Row],[Levetid]])=0,SUM(Materialedata[[#This Row],[A1-A3/m²]:[C4/m²]]),0))
))</f>
        <v>.</v>
      </c>
      <c r="CR13" s="141" t="str">
        <f>IF(CR$2&gt;Input_Tidshorisont,BlankTegn,IF(CR$2=0,SUM(Materialedata[[#This Row],[A1-A3/m²]:[A4/m²]]),
CQ13+IF(CR$2=Input_Tidshorisont,SUM(Materialedata[[#This Row],[C3/m²]:[C4/m²]]),IF(MOD(CR$2,Materialedata[[#This Row],[Levetid]])=0,SUM(Materialedata[[#This Row],[A1-A3/m²]:[C4/m²]]),0))
))</f>
        <v>.</v>
      </c>
      <c r="CS13" s="141" t="str">
        <f>IF(CS$2&gt;Input_Tidshorisont,BlankTegn,IF(CS$2=0,SUM(Materialedata[[#This Row],[A1-A3/m²]:[A4/m²]]),
CR13+IF(CS$2=Input_Tidshorisont,SUM(Materialedata[[#This Row],[C3/m²]:[C4/m²]]),IF(MOD(CS$2,Materialedata[[#This Row],[Levetid]])=0,SUM(Materialedata[[#This Row],[A1-A3/m²]:[C4/m²]]),0))
))</f>
        <v>.</v>
      </c>
      <c r="CT13" s="141" t="str">
        <f>IF(CT$2&gt;Input_Tidshorisont,BlankTegn,IF(CT$2=0,SUM(Materialedata[[#This Row],[A1-A3/m²]:[A4/m²]]),
CS13+IF(CT$2=Input_Tidshorisont,SUM(Materialedata[[#This Row],[C3/m²]:[C4/m²]]),IF(MOD(CT$2,Materialedata[[#This Row],[Levetid]])=0,SUM(Materialedata[[#This Row],[A1-A3/m²]:[C4/m²]]),0))
))</f>
        <v>.</v>
      </c>
      <c r="CU13" s="141" t="str">
        <f>IF(CU$2&gt;Input_Tidshorisont,BlankTegn,IF(CU$2=0,SUM(Materialedata[[#This Row],[A1-A3/m²]:[A4/m²]]),
CT13+IF(CU$2=Input_Tidshorisont,SUM(Materialedata[[#This Row],[C3/m²]:[C4/m²]]),IF(MOD(CU$2,Materialedata[[#This Row],[Levetid]])=0,SUM(Materialedata[[#This Row],[A1-A3/m²]:[C4/m²]]),0))
))</f>
        <v>.</v>
      </c>
      <c r="CV13" s="141" t="str">
        <f>IF(CV$2&gt;Input_Tidshorisont,BlankTegn,IF(CV$2=0,SUM(Materialedata[[#This Row],[A1-A3/m²]:[A4/m²]]),
CU13+IF(CV$2=Input_Tidshorisont,SUM(Materialedata[[#This Row],[C3/m²]:[C4/m²]]),IF(MOD(CV$2,Materialedata[[#This Row],[Levetid]])=0,SUM(Materialedata[[#This Row],[A1-A3/m²]:[C4/m²]]),0))
))</f>
        <v>.</v>
      </c>
      <c r="CW13" s="141" t="str">
        <f>IF(CW$2&gt;Input_Tidshorisont,BlankTegn,IF(CW$2=0,SUM(Materialedata[[#This Row],[A1-A3/m²]:[A4/m²]]),
CV13+IF(CW$2=Input_Tidshorisont,SUM(Materialedata[[#This Row],[C3/m²]:[C4/m²]]),IF(MOD(CW$2,Materialedata[[#This Row],[Levetid]])=0,SUM(Materialedata[[#This Row],[A1-A3/m²]:[C4/m²]]),0))
))</f>
        <v>.</v>
      </c>
      <c r="CX13" s="141" t="str">
        <f>IF(CX$2&gt;Input_Tidshorisont,BlankTegn,IF(CX$2=0,SUM(Materialedata[[#This Row],[A1-A3/m²]:[A4/m²]]),
CW13+IF(CX$2=Input_Tidshorisont,SUM(Materialedata[[#This Row],[C3/m²]:[C4/m²]]),IF(MOD(CX$2,Materialedata[[#This Row],[Levetid]])=0,SUM(Materialedata[[#This Row],[A1-A3/m²]:[C4/m²]]),0))
))</f>
        <v>.</v>
      </c>
      <c r="CY13" s="141" t="str">
        <f>IF(CY$2&gt;Input_Tidshorisont,BlankTegn,IF(CY$2=0,SUM(Materialedata[[#This Row],[A1-A3/m²]:[A4/m²]]),
CX13+IF(CY$2=Input_Tidshorisont,SUM(Materialedata[[#This Row],[C3/m²]:[C4/m²]]),IF(MOD(CY$2,Materialedata[[#This Row],[Levetid]])=0,SUM(Materialedata[[#This Row],[A1-A3/m²]:[C4/m²]]),0))
))</f>
        <v>.</v>
      </c>
      <c r="CZ13" s="141" t="str">
        <f>IF(CZ$2&gt;Input_Tidshorisont,BlankTegn,IF(CZ$2=0,SUM(Materialedata[[#This Row],[A1-A3/m²]:[A4/m²]]),
CY13+IF(CZ$2=Input_Tidshorisont,SUM(Materialedata[[#This Row],[C3/m²]:[C4/m²]]),IF(MOD(CZ$2,Materialedata[[#This Row],[Levetid]])=0,SUM(Materialedata[[#This Row],[A1-A3/m²]:[C4/m²]]),0))
))</f>
        <v>.</v>
      </c>
      <c r="DA13" s="141" t="str">
        <f>IF(DA$2&gt;Input_Tidshorisont,BlankTegn,IF(DA$2=0,SUM(Materialedata[[#This Row],[A1-A3/m²]:[A4/m²]]),
CZ13+IF(DA$2=Input_Tidshorisont,SUM(Materialedata[[#This Row],[C3/m²]:[C4/m²]]),IF(MOD(DA$2,Materialedata[[#This Row],[Levetid]])=0,SUM(Materialedata[[#This Row],[A1-A3/m²]:[C4/m²]]),0))
))</f>
        <v>.</v>
      </c>
      <c r="DB13" s="141" t="str">
        <f>IF(DB$2&gt;Input_Tidshorisont,BlankTegn,IF(DB$2=0,SUM(Materialedata[[#This Row],[A1-A3/m²]:[A4/m²]]),
DA13+IF(DB$2=Input_Tidshorisont,SUM(Materialedata[[#This Row],[C3/m²]:[C4/m²]]),IF(MOD(DB$2,Materialedata[[#This Row],[Levetid]])=0,SUM(Materialedata[[#This Row],[A1-A3/m²]:[C4/m²]]),0))
))</f>
        <v>.</v>
      </c>
      <c r="DC13" s="141" t="str">
        <f>IF(DC$2&gt;Input_Tidshorisont,BlankTegn,IF(DC$2=0,SUM(Materialedata[[#This Row],[A1-A3/m²]:[A4/m²]]),
DB13+IF(DC$2=Input_Tidshorisont,SUM(Materialedata[[#This Row],[C3/m²]:[C4/m²]]),IF(MOD(DC$2,Materialedata[[#This Row],[Levetid]])=0,SUM(Materialedata[[#This Row],[A1-A3/m²]:[C4/m²]]),0))
))</f>
        <v>.</v>
      </c>
      <c r="DD13" s="141" t="str">
        <f>IF(DD$2&gt;Input_Tidshorisont,BlankTegn,IF(DD$2=0,SUM(Materialedata[[#This Row],[A1-A3/m²]:[A4/m²]]),
DC13+IF(DD$2=Input_Tidshorisont,SUM(Materialedata[[#This Row],[C3/m²]:[C4/m²]]),IF(MOD(DD$2,Materialedata[[#This Row],[Levetid]])=0,SUM(Materialedata[[#This Row],[A1-A3/m²]:[C4/m²]]),0))
))</f>
        <v>.</v>
      </c>
      <c r="DE13" s="141" t="str">
        <f>IF(DE$2&gt;Input_Tidshorisont,BlankTegn,IF(DE$2=0,SUM(Materialedata[[#This Row],[A1-A3/m²]:[A4/m²]]),
DD13+IF(DE$2=Input_Tidshorisont,SUM(Materialedata[[#This Row],[C3/m²]:[C4/m²]]),IF(MOD(DE$2,Materialedata[[#This Row],[Levetid]])=0,SUM(Materialedata[[#This Row],[A1-A3/m²]:[C4/m²]]),0))
))</f>
        <v>.</v>
      </c>
      <c r="DF13" s="141" t="str">
        <f>IF(DF$2&gt;Input_Tidshorisont,BlankTegn,IF(DF$2=0,SUM(Materialedata[[#This Row],[A1-A3/m²]:[A4/m²]]),
DE13+IF(DF$2=Input_Tidshorisont,SUM(Materialedata[[#This Row],[C3/m²]:[C4/m²]]),IF(MOD(DF$2,Materialedata[[#This Row],[Levetid]])=0,SUM(Materialedata[[#This Row],[A1-A3/m²]:[C4/m²]]),0))
))</f>
        <v>.</v>
      </c>
      <c r="DG13" s="141" t="str">
        <f>IF(DG$2&gt;Input_Tidshorisont,BlankTegn,IF(DG$2=0,SUM(Materialedata[[#This Row],[A1-A3/m²]:[A4/m²]]),
DF13+IF(DG$2=Input_Tidshorisont,SUM(Materialedata[[#This Row],[C3/m²]:[C4/m²]]),IF(MOD(DG$2,Materialedata[[#This Row],[Levetid]])=0,SUM(Materialedata[[#This Row],[A1-A3/m²]:[C4/m²]]),0))
))</f>
        <v>.</v>
      </c>
      <c r="DH13" s="141" t="str">
        <f>IF(DH$2&gt;Input_Tidshorisont,BlankTegn,IF(DH$2=0,SUM(Materialedata[[#This Row],[A1-A3/m²]:[A4/m²]]),
DG13+IF(DH$2=Input_Tidshorisont,SUM(Materialedata[[#This Row],[C3/m²]:[C4/m²]]),IF(MOD(DH$2,Materialedata[[#This Row],[Levetid]])=0,SUM(Materialedata[[#This Row],[A1-A3/m²]:[C4/m²]]),0))
))</f>
        <v>.</v>
      </c>
      <c r="DI13" s="141" t="str">
        <f>IF(DI$2&gt;Input_Tidshorisont,BlankTegn,IF(DI$2=0,SUM(Materialedata[[#This Row],[A1-A3/m²]:[A4/m²]]),
DH13+IF(DI$2=Input_Tidshorisont,SUM(Materialedata[[#This Row],[C3/m²]:[C4/m²]]),IF(MOD(DI$2,Materialedata[[#This Row],[Levetid]])=0,SUM(Materialedata[[#This Row],[A1-A3/m²]:[C4/m²]]),0))
))</f>
        <v>.</v>
      </c>
      <c r="DJ13" s="141" t="str">
        <f>IF(DJ$2&gt;Input_Tidshorisont,BlankTegn,IF(DJ$2=0,SUM(Materialedata[[#This Row],[A1-A3/m²]:[A4/m²]]),
DI13+IF(DJ$2=Input_Tidshorisont,SUM(Materialedata[[#This Row],[C3/m²]:[C4/m²]]),IF(MOD(DJ$2,Materialedata[[#This Row],[Levetid]])=0,SUM(Materialedata[[#This Row],[A1-A3/m²]:[C4/m²]]),0))
))</f>
        <v>.</v>
      </c>
      <c r="DK13" s="141" t="str">
        <f>IF(DK$2&gt;Input_Tidshorisont,BlankTegn,IF(DK$2=0,SUM(Materialedata[[#This Row],[A1-A3/m²]:[A4/m²]]),
DJ13+IF(DK$2=Input_Tidshorisont,SUM(Materialedata[[#This Row],[C3/m²]:[C4/m²]]),IF(MOD(DK$2,Materialedata[[#This Row],[Levetid]])=0,SUM(Materialedata[[#This Row],[A1-A3/m²]:[C4/m²]]),0))
))</f>
        <v>.</v>
      </c>
      <c r="DL13" s="141" t="str">
        <f>IF(DL$2&gt;Input_Tidshorisont,BlankTegn,IF(DL$2=0,SUM(Materialedata[[#This Row],[A1-A3/m²]:[A4/m²]]),
DK13+IF(DL$2=Input_Tidshorisont,SUM(Materialedata[[#This Row],[C3/m²]:[C4/m²]]),IF(MOD(DL$2,Materialedata[[#This Row],[Levetid]])=0,SUM(Materialedata[[#This Row],[A1-A3/m²]:[C4/m²]]),0))
))</f>
        <v>.</v>
      </c>
      <c r="DM13" s="19"/>
    </row>
    <row r="14" spans="1:117" ht="72">
      <c r="A14" s="182" t="s">
        <v>42</v>
      </c>
      <c r="B14" s="182" t="s">
        <v>147</v>
      </c>
      <c r="C14" s="148" t="s">
        <v>131</v>
      </c>
      <c r="D14" s="149" t="s">
        <v>278</v>
      </c>
      <c r="E14" s="180" t="s">
        <v>310</v>
      </c>
      <c r="F14" s="182" t="s">
        <v>134</v>
      </c>
      <c r="G14" s="182">
        <v>120</v>
      </c>
      <c r="H14" s="183">
        <v>7850</v>
      </c>
      <c r="I14" s="193">
        <f>(((6.6*0.333)*2)/1.2)*1.15*1.2</f>
        <v>5.0549399999999993</v>
      </c>
      <c r="J14" s="184" t="s">
        <v>101</v>
      </c>
      <c r="K14" s="188">
        <f>2190/1000</f>
        <v>2.19</v>
      </c>
      <c r="L14" s="182" t="s">
        <v>209</v>
      </c>
      <c r="M14" s="185">
        <f>IF(ISBLANK(Materialedata[[#This Row],[A4-gruppe]]),BlankTegn,INDEX(Byggeproces[GWP],MATCH(Materialedata[[#This Row],[A4-gruppe]],Byggeproces[Gruppe/Undergruppe],0)))</f>
        <v>1.24E-2</v>
      </c>
      <c r="N14" s="182">
        <f>46.5/1000</f>
        <v>4.65E-2</v>
      </c>
      <c r="O14" s="182">
        <f>45.9/1000</f>
        <v>4.5899999999999996E-2</v>
      </c>
      <c r="P14" s="182">
        <f>-1.05/1000</f>
        <v>-1.0500000000000002E-3</v>
      </c>
      <c r="Q14" s="279">
        <f>Materialedata[[#This Row],[A1-A3/standardenhed]]*Materialedata[[#This Row],[Mængde/m²]]</f>
        <v>11.070318599999998</v>
      </c>
      <c r="R14" s="276" cm="1">
        <f t="array" ref="R14">IFERROR(_xlfn.IFS(Materialedata[[#This Row],[Mængde-enhed]]="kg/m²",Materialedata[[#This Row],[A4/kg]]*Materialedata[[#This Row],[Mængde/m²]],Materialedata[[#This Row],[Mængde-enhed]]="m³/m²",Materialedata[[#This Row],[A4/kg]]*Materialedata[[#This Row],[Mængde/m²]]*Materialedata[[#This Row],[Densitet]]),"N/A")</f>
        <v>6.2681255999999991E-2</v>
      </c>
      <c r="S14" s="188">
        <f>Materialedata[[#This Row],[C3/enhed]]*Materialedata[[#This Row],[Mængde/m²]]</f>
        <v>0.23505470999999997</v>
      </c>
      <c r="T14" s="188">
        <f>Materialedata[[#This Row],[C4/enhed]]*Materialedata[[#This Row],[Mængde/m²]]</f>
        <v>0.23202174599999995</v>
      </c>
      <c r="U14" s="188">
        <f>Materialedata[[#This Row],[D/enhed]]*Materialedata[[#This Row],[Mængde/m²]]</f>
        <v>-5.3076870000000002E-3</v>
      </c>
      <c r="V14" s="150">
        <f>IFERROR(INDEX(Range_Materiale_Genbrug,MATCH(Materialedata[[#This Row],[Komponent]],Facadekomponenter,0)),BlankTegn)</f>
        <v>0</v>
      </c>
      <c r="W14" s="150">
        <f>IFERROR(1-Materialedata[[#This Row],[Genbrug]],BlankTegn)</f>
        <v>1</v>
      </c>
      <c r="X14" s="186">
        <f>IFERROR(Materialedata[[#This Row],[A1-A3/m²_nyt]]*Materialedata[[#This Row],[Nyt]],BlankTegn)</f>
        <v>11.070318599999998</v>
      </c>
      <c r="Y14" s="186">
        <f>Materialedata[[#This Row],[A4/m²_nyt]]</f>
        <v>6.2681255999999991E-2</v>
      </c>
      <c r="Z14" s="186">
        <f>IFERROR(Materialedata[[#This Row],[C3/m²_nyt]]*Materialedata[[#This Row],[Nyt]],BlankTegn)</f>
        <v>0.23505470999999997</v>
      </c>
      <c r="AA14" s="186">
        <f>IFERROR(Materialedata[[#This Row],[C4/m²_nyt]]*Materialedata[[#This Row],[Nyt]],BlankTegn)</f>
        <v>0.23202174599999995</v>
      </c>
      <c r="AB14" s="186">
        <f>IFERROR(Materialedata[[#This Row],[D/m²_nyt]]*Materialedata[[#This Row],[Nyt]],BlankTegn)</f>
        <v>-5.3076870000000002E-3</v>
      </c>
      <c r="AC14" s="187">
        <f>AC39</f>
        <v>39.532456949949207</v>
      </c>
      <c r="AD14" s="188" t="s">
        <v>134</v>
      </c>
      <c r="AE14" s="277">
        <f>1*Materialedata[[#This Row],[Mængde/m²]]</f>
        <v>5.0549399999999993</v>
      </c>
      <c r="AF14" s="189">
        <f>Materialedata[[#This Row],[Pris/enhed]]*Materialedata[[#This Row],[Omregning]]</f>
        <v>199.83419793457622</v>
      </c>
      <c r="AG14" s="190">
        <v>0.03</v>
      </c>
      <c r="AH14" s="191">
        <v>1</v>
      </c>
      <c r="AI14" s="162">
        <v>0</v>
      </c>
      <c r="AJ14" s="141">
        <f>IF(AJ$2&gt;Input_Tidshorisont,BlankTegn,IF(AJ$2=0,SUM(Materialedata[[#This Row],[A1-A3/m²]:[A4/m²]]),
AI14+IF(AJ$2=Input_Tidshorisont,SUM(Materialedata[[#This Row],[C3/m²]:[C4/m²]]),IF(MOD(AJ$2,Materialedata[[#This Row],[Levetid]])=0,SUM(Materialedata[[#This Row],[A1-A3/m²]:[C4/m²]]),0))
))</f>
        <v>11.132999855999998</v>
      </c>
      <c r="AK14" s="141">
        <f>IF(AK$2&gt;Input_Tidshorisont,BlankTegn,IF(AK$2=0,SUM(Materialedata[[#This Row],[A1-A3/m²]:[A4/m²]]),
AJ14+IF(AK$2=Input_Tidshorisont,SUM(Materialedata[[#This Row],[C3/m²]:[C4/m²]]),IF(MOD(AK$2,Materialedata[[#This Row],[Levetid]])=0,SUM(Materialedata[[#This Row],[A1-A3/m²]:[C4/m²]]),0))
))</f>
        <v>11.132999855999998</v>
      </c>
      <c r="AL14" s="141">
        <f>IF(AL$2&gt;Input_Tidshorisont,BlankTegn,IF(AL$2=0,SUM(Materialedata[[#This Row],[A1-A3/m²]:[A4/m²]]),
AK14+IF(AL$2=Input_Tidshorisont,SUM(Materialedata[[#This Row],[C3/m²]:[C4/m²]]),IF(MOD(AL$2,Materialedata[[#This Row],[Levetid]])=0,SUM(Materialedata[[#This Row],[A1-A3/m²]:[C4/m²]]),0))
))</f>
        <v>11.132999855999998</v>
      </c>
      <c r="AM14" s="141">
        <f>IF(AM$2&gt;Input_Tidshorisont,BlankTegn,IF(AM$2=0,SUM(Materialedata[[#This Row],[A1-A3/m²]:[A4/m²]]),
AL14+IF(AM$2=Input_Tidshorisont,SUM(Materialedata[[#This Row],[C3/m²]:[C4/m²]]),IF(MOD(AM$2,Materialedata[[#This Row],[Levetid]])=0,SUM(Materialedata[[#This Row],[A1-A3/m²]:[C4/m²]]),0))
))</f>
        <v>11.132999855999998</v>
      </c>
      <c r="AN14" s="141">
        <f>IF(AN$2&gt;Input_Tidshorisont,BlankTegn,IF(AN$2=0,SUM(Materialedata[[#This Row],[A1-A3/m²]:[A4/m²]]),
AM14+IF(AN$2=Input_Tidshorisont,SUM(Materialedata[[#This Row],[C3/m²]:[C4/m²]]),IF(MOD(AN$2,Materialedata[[#This Row],[Levetid]])=0,SUM(Materialedata[[#This Row],[A1-A3/m²]:[C4/m²]]),0))
))</f>
        <v>11.132999855999998</v>
      </c>
      <c r="AO14" s="141">
        <f>IF(AO$2&gt;Input_Tidshorisont,BlankTegn,IF(AO$2=0,SUM(Materialedata[[#This Row],[A1-A3/m²]:[A4/m²]]),
AN14+IF(AO$2=Input_Tidshorisont,SUM(Materialedata[[#This Row],[C3/m²]:[C4/m²]]),IF(MOD(AO$2,Materialedata[[#This Row],[Levetid]])=0,SUM(Materialedata[[#This Row],[A1-A3/m²]:[C4/m²]]),0))
))</f>
        <v>11.132999855999998</v>
      </c>
      <c r="AP14" s="141">
        <f>IF(AP$2&gt;Input_Tidshorisont,BlankTegn,IF(AP$2=0,SUM(Materialedata[[#This Row],[A1-A3/m²]:[A4/m²]]),
AO14+IF(AP$2=Input_Tidshorisont,SUM(Materialedata[[#This Row],[C3/m²]:[C4/m²]]),IF(MOD(AP$2,Materialedata[[#This Row],[Levetid]])=0,SUM(Materialedata[[#This Row],[A1-A3/m²]:[C4/m²]]),0))
))</f>
        <v>11.132999855999998</v>
      </c>
      <c r="AQ14" s="141">
        <f>IF(AQ$2&gt;Input_Tidshorisont,BlankTegn,IF(AQ$2=0,SUM(Materialedata[[#This Row],[A1-A3/m²]:[A4/m²]]),
AP14+IF(AQ$2=Input_Tidshorisont,SUM(Materialedata[[#This Row],[C3/m²]:[C4/m²]]),IF(MOD(AQ$2,Materialedata[[#This Row],[Levetid]])=0,SUM(Materialedata[[#This Row],[A1-A3/m²]:[C4/m²]]),0))
))</f>
        <v>11.132999855999998</v>
      </c>
      <c r="AR14" s="141">
        <f>IF(AR$2&gt;Input_Tidshorisont,BlankTegn,IF(AR$2=0,SUM(Materialedata[[#This Row],[A1-A3/m²]:[A4/m²]]),
AQ14+IF(AR$2=Input_Tidshorisont,SUM(Materialedata[[#This Row],[C3/m²]:[C4/m²]]),IF(MOD(AR$2,Materialedata[[#This Row],[Levetid]])=0,SUM(Materialedata[[#This Row],[A1-A3/m²]:[C4/m²]]),0))
))</f>
        <v>11.132999855999998</v>
      </c>
      <c r="AS14" s="141">
        <f>IF(AS$2&gt;Input_Tidshorisont,BlankTegn,IF(AS$2=0,SUM(Materialedata[[#This Row],[A1-A3/m²]:[A4/m²]]),
AR14+IF(AS$2=Input_Tidshorisont,SUM(Materialedata[[#This Row],[C3/m²]:[C4/m²]]),IF(MOD(AS$2,Materialedata[[#This Row],[Levetid]])=0,SUM(Materialedata[[#This Row],[A1-A3/m²]:[C4/m²]]),0))
))</f>
        <v>11.132999855999998</v>
      </c>
      <c r="AT14" s="141">
        <f>IF(AT$2&gt;Input_Tidshorisont,BlankTegn,IF(AT$2=0,SUM(Materialedata[[#This Row],[A1-A3/m²]:[A4/m²]]),
AS14+IF(AT$2=Input_Tidshorisont,SUM(Materialedata[[#This Row],[C3/m²]:[C4/m²]]),IF(MOD(AT$2,Materialedata[[#This Row],[Levetid]])=0,SUM(Materialedata[[#This Row],[A1-A3/m²]:[C4/m²]]),0))
))</f>
        <v>11.132999855999998</v>
      </c>
      <c r="AU14" s="141">
        <f>IF(AU$2&gt;Input_Tidshorisont,BlankTegn,IF(AU$2=0,SUM(Materialedata[[#This Row],[A1-A3/m²]:[A4/m²]]),
AT14+IF(AU$2=Input_Tidshorisont,SUM(Materialedata[[#This Row],[C3/m²]:[C4/m²]]),IF(MOD(AU$2,Materialedata[[#This Row],[Levetid]])=0,SUM(Materialedata[[#This Row],[A1-A3/m²]:[C4/m²]]),0))
))</f>
        <v>11.132999855999998</v>
      </c>
      <c r="AV14" s="141">
        <f>IF(AV$2&gt;Input_Tidshorisont,BlankTegn,IF(AV$2=0,SUM(Materialedata[[#This Row],[A1-A3/m²]:[A4/m²]]),
AU14+IF(AV$2=Input_Tidshorisont,SUM(Materialedata[[#This Row],[C3/m²]:[C4/m²]]),IF(MOD(AV$2,Materialedata[[#This Row],[Levetid]])=0,SUM(Materialedata[[#This Row],[A1-A3/m²]:[C4/m²]]),0))
))</f>
        <v>11.132999855999998</v>
      </c>
      <c r="AW14" s="141">
        <f>IF(AW$2&gt;Input_Tidshorisont,BlankTegn,IF(AW$2=0,SUM(Materialedata[[#This Row],[A1-A3/m²]:[A4/m²]]),
AV14+IF(AW$2=Input_Tidshorisont,SUM(Materialedata[[#This Row],[C3/m²]:[C4/m²]]),IF(MOD(AW$2,Materialedata[[#This Row],[Levetid]])=0,SUM(Materialedata[[#This Row],[A1-A3/m²]:[C4/m²]]),0))
))</f>
        <v>11.132999855999998</v>
      </c>
      <c r="AX14" s="141">
        <f>IF(AX$2&gt;Input_Tidshorisont,BlankTegn,IF(AX$2=0,SUM(Materialedata[[#This Row],[A1-A3/m²]:[A4/m²]]),
AW14+IF(AX$2=Input_Tidshorisont,SUM(Materialedata[[#This Row],[C3/m²]:[C4/m²]]),IF(MOD(AX$2,Materialedata[[#This Row],[Levetid]])=0,SUM(Materialedata[[#This Row],[A1-A3/m²]:[C4/m²]]),0))
))</f>
        <v>11.132999855999998</v>
      </c>
      <c r="AY14" s="141">
        <f>IF(AY$2&gt;Input_Tidshorisont,BlankTegn,IF(AY$2=0,SUM(Materialedata[[#This Row],[A1-A3/m²]:[A4/m²]]),
AX14+IF(AY$2=Input_Tidshorisont,SUM(Materialedata[[#This Row],[C3/m²]:[C4/m²]]),IF(MOD(AY$2,Materialedata[[#This Row],[Levetid]])=0,SUM(Materialedata[[#This Row],[A1-A3/m²]:[C4/m²]]),0))
))</f>
        <v>11.132999855999998</v>
      </c>
      <c r="AZ14" s="141">
        <f>IF(AZ$2&gt;Input_Tidshorisont,BlankTegn,IF(AZ$2=0,SUM(Materialedata[[#This Row],[A1-A3/m²]:[A4/m²]]),
AY14+IF(AZ$2=Input_Tidshorisont,SUM(Materialedata[[#This Row],[C3/m²]:[C4/m²]]),IF(MOD(AZ$2,Materialedata[[#This Row],[Levetid]])=0,SUM(Materialedata[[#This Row],[A1-A3/m²]:[C4/m²]]),0))
))</f>
        <v>11.132999855999998</v>
      </c>
      <c r="BA14" s="141">
        <f>IF(BA$2&gt;Input_Tidshorisont,BlankTegn,IF(BA$2=0,SUM(Materialedata[[#This Row],[A1-A3/m²]:[A4/m²]]),
AZ14+IF(BA$2=Input_Tidshorisont,SUM(Materialedata[[#This Row],[C3/m²]:[C4/m²]]),IF(MOD(BA$2,Materialedata[[#This Row],[Levetid]])=0,SUM(Materialedata[[#This Row],[A1-A3/m²]:[C4/m²]]),0))
))</f>
        <v>11.132999855999998</v>
      </c>
      <c r="BB14" s="141">
        <f>IF(BB$2&gt;Input_Tidshorisont,BlankTegn,IF(BB$2=0,SUM(Materialedata[[#This Row],[A1-A3/m²]:[A4/m²]]),
BA14+IF(BB$2=Input_Tidshorisont,SUM(Materialedata[[#This Row],[C3/m²]:[C4/m²]]),IF(MOD(BB$2,Materialedata[[#This Row],[Levetid]])=0,SUM(Materialedata[[#This Row],[A1-A3/m²]:[C4/m²]]),0))
))</f>
        <v>11.132999855999998</v>
      </c>
      <c r="BC14" s="141">
        <f>IF(BC$2&gt;Input_Tidshorisont,BlankTegn,IF(BC$2=0,SUM(Materialedata[[#This Row],[A1-A3/m²]:[A4/m²]]),
BB14+IF(BC$2=Input_Tidshorisont,SUM(Materialedata[[#This Row],[C3/m²]:[C4/m²]]),IF(MOD(BC$2,Materialedata[[#This Row],[Levetid]])=0,SUM(Materialedata[[#This Row],[A1-A3/m²]:[C4/m²]]),0))
))</f>
        <v>11.132999855999998</v>
      </c>
      <c r="BD14" s="141">
        <f>IF(BD$2&gt;Input_Tidshorisont,BlankTegn,IF(BD$2=0,SUM(Materialedata[[#This Row],[A1-A3/m²]:[A4/m²]]),
BC14+IF(BD$2=Input_Tidshorisont,SUM(Materialedata[[#This Row],[C3/m²]:[C4/m²]]),IF(MOD(BD$2,Materialedata[[#This Row],[Levetid]])=0,SUM(Materialedata[[#This Row],[A1-A3/m²]:[C4/m²]]),0))
))</f>
        <v>11.132999855999998</v>
      </c>
      <c r="BE14" s="141">
        <f>IF(BE$2&gt;Input_Tidshorisont,BlankTegn,IF(BE$2=0,SUM(Materialedata[[#This Row],[A1-A3/m²]:[A4/m²]]),
BD14+IF(BE$2=Input_Tidshorisont,SUM(Materialedata[[#This Row],[C3/m²]:[C4/m²]]),IF(MOD(BE$2,Materialedata[[#This Row],[Levetid]])=0,SUM(Materialedata[[#This Row],[A1-A3/m²]:[C4/m²]]),0))
))</f>
        <v>11.132999855999998</v>
      </c>
      <c r="BF14" s="141">
        <f>IF(BF$2&gt;Input_Tidshorisont,BlankTegn,IF(BF$2=0,SUM(Materialedata[[#This Row],[A1-A3/m²]:[A4/m²]]),
BE14+IF(BF$2=Input_Tidshorisont,SUM(Materialedata[[#This Row],[C3/m²]:[C4/m²]]),IF(MOD(BF$2,Materialedata[[#This Row],[Levetid]])=0,SUM(Materialedata[[#This Row],[A1-A3/m²]:[C4/m²]]),0))
))</f>
        <v>11.132999855999998</v>
      </c>
      <c r="BG14" s="141">
        <f>IF(BG$2&gt;Input_Tidshorisont,BlankTegn,IF(BG$2=0,SUM(Materialedata[[#This Row],[A1-A3/m²]:[A4/m²]]),
BF14+IF(BG$2=Input_Tidshorisont,SUM(Materialedata[[#This Row],[C3/m²]:[C4/m²]]),IF(MOD(BG$2,Materialedata[[#This Row],[Levetid]])=0,SUM(Materialedata[[#This Row],[A1-A3/m²]:[C4/m²]]),0))
))</f>
        <v>11.132999855999998</v>
      </c>
      <c r="BH14" s="141">
        <f>IF(BH$2&gt;Input_Tidshorisont,BlankTegn,IF(BH$2=0,SUM(Materialedata[[#This Row],[A1-A3/m²]:[A4/m²]]),
BG14+IF(BH$2=Input_Tidshorisont,SUM(Materialedata[[#This Row],[C3/m²]:[C4/m²]]),IF(MOD(BH$2,Materialedata[[#This Row],[Levetid]])=0,SUM(Materialedata[[#This Row],[A1-A3/m²]:[C4/m²]]),0))
))</f>
        <v>11.132999855999998</v>
      </c>
      <c r="BI14" s="141">
        <f>IF(BI$2&gt;Input_Tidshorisont,BlankTegn,IF(BI$2=0,SUM(Materialedata[[#This Row],[A1-A3/m²]:[A4/m²]]),
BH14+IF(BI$2=Input_Tidshorisont,SUM(Materialedata[[#This Row],[C3/m²]:[C4/m²]]),IF(MOD(BI$2,Materialedata[[#This Row],[Levetid]])=0,SUM(Materialedata[[#This Row],[A1-A3/m²]:[C4/m²]]),0))
))</f>
        <v>11.132999855999998</v>
      </c>
      <c r="BJ14" s="141">
        <f>IF(BJ$2&gt;Input_Tidshorisont,BlankTegn,IF(BJ$2=0,SUM(Materialedata[[#This Row],[A1-A3/m²]:[A4/m²]]),
BI14+IF(BJ$2=Input_Tidshorisont,SUM(Materialedata[[#This Row],[C3/m²]:[C4/m²]]),IF(MOD(BJ$2,Materialedata[[#This Row],[Levetid]])=0,SUM(Materialedata[[#This Row],[A1-A3/m²]:[C4/m²]]),0))
))</f>
        <v>11.132999855999998</v>
      </c>
      <c r="BK14" s="141">
        <f>IF(BK$2&gt;Input_Tidshorisont,BlankTegn,IF(BK$2=0,SUM(Materialedata[[#This Row],[A1-A3/m²]:[A4/m²]]),
BJ14+IF(BK$2=Input_Tidshorisont,SUM(Materialedata[[#This Row],[C3/m²]:[C4/m²]]),IF(MOD(BK$2,Materialedata[[#This Row],[Levetid]])=0,SUM(Materialedata[[#This Row],[A1-A3/m²]:[C4/m²]]),0))
))</f>
        <v>11.132999855999998</v>
      </c>
      <c r="BL14" s="141">
        <f>IF(BL$2&gt;Input_Tidshorisont,BlankTegn,IF(BL$2=0,SUM(Materialedata[[#This Row],[A1-A3/m²]:[A4/m²]]),
BK14+IF(BL$2=Input_Tidshorisont,SUM(Materialedata[[#This Row],[C3/m²]:[C4/m²]]),IF(MOD(BL$2,Materialedata[[#This Row],[Levetid]])=0,SUM(Materialedata[[#This Row],[A1-A3/m²]:[C4/m²]]),0))
))</f>
        <v>11.132999855999998</v>
      </c>
      <c r="BM14" s="141">
        <f>IF(BM$2&gt;Input_Tidshorisont,BlankTegn,IF(BM$2=0,SUM(Materialedata[[#This Row],[A1-A3/m²]:[A4/m²]]),
BL14+IF(BM$2=Input_Tidshorisont,SUM(Materialedata[[#This Row],[C3/m²]:[C4/m²]]),IF(MOD(BM$2,Materialedata[[#This Row],[Levetid]])=0,SUM(Materialedata[[#This Row],[A1-A3/m²]:[C4/m²]]),0))
))</f>
        <v>11.132999855999998</v>
      </c>
      <c r="BN14" s="141">
        <f>IF(BN$2&gt;Input_Tidshorisont,BlankTegn,IF(BN$2=0,SUM(Materialedata[[#This Row],[A1-A3/m²]:[A4/m²]]),
BM14+IF(BN$2=Input_Tidshorisont,SUM(Materialedata[[#This Row],[C3/m²]:[C4/m²]]),IF(MOD(BN$2,Materialedata[[#This Row],[Levetid]])=0,SUM(Materialedata[[#This Row],[A1-A3/m²]:[C4/m²]]),0))
))</f>
        <v>11.132999855999998</v>
      </c>
      <c r="BO14" s="141">
        <f>IF(BO$2&gt;Input_Tidshorisont,BlankTegn,IF(BO$2=0,SUM(Materialedata[[#This Row],[A1-A3/m²]:[A4/m²]]),
BN14+IF(BO$2=Input_Tidshorisont,SUM(Materialedata[[#This Row],[C3/m²]:[C4/m²]]),IF(MOD(BO$2,Materialedata[[#This Row],[Levetid]])=0,SUM(Materialedata[[#This Row],[A1-A3/m²]:[C4/m²]]),0))
))</f>
        <v>11.132999855999998</v>
      </c>
      <c r="BP14" s="141">
        <f>IF(BP$2&gt;Input_Tidshorisont,BlankTegn,IF(BP$2=0,SUM(Materialedata[[#This Row],[A1-A3/m²]:[A4/m²]]),
BO14+IF(BP$2=Input_Tidshorisont,SUM(Materialedata[[#This Row],[C3/m²]:[C4/m²]]),IF(MOD(BP$2,Materialedata[[#This Row],[Levetid]])=0,SUM(Materialedata[[#This Row],[A1-A3/m²]:[C4/m²]]),0))
))</f>
        <v>11.132999855999998</v>
      </c>
      <c r="BQ14" s="141">
        <f>IF(BQ$2&gt;Input_Tidshorisont,BlankTegn,IF(BQ$2=0,SUM(Materialedata[[#This Row],[A1-A3/m²]:[A4/m²]]),
BP14+IF(BQ$2=Input_Tidshorisont,SUM(Materialedata[[#This Row],[C3/m²]:[C4/m²]]),IF(MOD(BQ$2,Materialedata[[#This Row],[Levetid]])=0,SUM(Materialedata[[#This Row],[A1-A3/m²]:[C4/m²]]),0))
))</f>
        <v>11.132999855999998</v>
      </c>
      <c r="BR14" s="141">
        <f>IF(BR$2&gt;Input_Tidshorisont,BlankTegn,IF(BR$2=0,SUM(Materialedata[[#This Row],[A1-A3/m²]:[A4/m²]]),
BQ14+IF(BR$2=Input_Tidshorisont,SUM(Materialedata[[#This Row],[C3/m²]:[C4/m²]]),IF(MOD(BR$2,Materialedata[[#This Row],[Levetid]])=0,SUM(Materialedata[[#This Row],[A1-A3/m²]:[C4/m²]]),0))
))</f>
        <v>11.132999855999998</v>
      </c>
      <c r="BS14" s="141">
        <f>IF(BS$2&gt;Input_Tidshorisont,BlankTegn,IF(BS$2=0,SUM(Materialedata[[#This Row],[A1-A3/m²]:[A4/m²]]),
BR14+IF(BS$2=Input_Tidshorisont,SUM(Materialedata[[#This Row],[C3/m²]:[C4/m²]]),IF(MOD(BS$2,Materialedata[[#This Row],[Levetid]])=0,SUM(Materialedata[[#This Row],[A1-A3/m²]:[C4/m²]]),0))
))</f>
        <v>11.132999855999998</v>
      </c>
      <c r="BT14" s="141">
        <f>IF(BT$2&gt;Input_Tidshorisont,BlankTegn,IF(BT$2=0,SUM(Materialedata[[#This Row],[A1-A3/m²]:[A4/m²]]),
BS14+IF(BT$2=Input_Tidshorisont,SUM(Materialedata[[#This Row],[C3/m²]:[C4/m²]]),IF(MOD(BT$2,Materialedata[[#This Row],[Levetid]])=0,SUM(Materialedata[[#This Row],[A1-A3/m²]:[C4/m²]]),0))
))</f>
        <v>11.132999855999998</v>
      </c>
      <c r="BU14" s="141">
        <f>IF(BU$2&gt;Input_Tidshorisont,BlankTegn,IF(BU$2=0,SUM(Materialedata[[#This Row],[A1-A3/m²]:[A4/m²]]),
BT14+IF(BU$2=Input_Tidshorisont,SUM(Materialedata[[#This Row],[C3/m²]:[C4/m²]]),IF(MOD(BU$2,Materialedata[[#This Row],[Levetid]])=0,SUM(Materialedata[[#This Row],[A1-A3/m²]:[C4/m²]]),0))
))</f>
        <v>11.132999855999998</v>
      </c>
      <c r="BV14" s="141">
        <f>IF(BV$2&gt;Input_Tidshorisont,BlankTegn,IF(BV$2=0,SUM(Materialedata[[#This Row],[A1-A3/m²]:[A4/m²]]),
BU14+IF(BV$2=Input_Tidshorisont,SUM(Materialedata[[#This Row],[C3/m²]:[C4/m²]]),IF(MOD(BV$2,Materialedata[[#This Row],[Levetid]])=0,SUM(Materialedata[[#This Row],[A1-A3/m²]:[C4/m²]]),0))
))</f>
        <v>11.132999855999998</v>
      </c>
      <c r="BW14" s="141">
        <f>IF(BW$2&gt;Input_Tidshorisont,BlankTegn,IF(BW$2=0,SUM(Materialedata[[#This Row],[A1-A3/m²]:[A4/m²]]),
BV14+IF(BW$2=Input_Tidshorisont,SUM(Materialedata[[#This Row],[C3/m²]:[C4/m²]]),IF(MOD(BW$2,Materialedata[[#This Row],[Levetid]])=0,SUM(Materialedata[[#This Row],[A1-A3/m²]:[C4/m²]]),0))
))</f>
        <v>11.132999855999998</v>
      </c>
      <c r="BX14" s="141">
        <f>IF(BX$2&gt;Input_Tidshorisont,BlankTegn,IF(BX$2=0,SUM(Materialedata[[#This Row],[A1-A3/m²]:[A4/m²]]),
BW14+IF(BX$2=Input_Tidshorisont,SUM(Materialedata[[#This Row],[C3/m²]:[C4/m²]]),IF(MOD(BX$2,Materialedata[[#This Row],[Levetid]])=0,SUM(Materialedata[[#This Row],[A1-A3/m²]:[C4/m²]]),0))
))</f>
        <v>11.132999855999998</v>
      </c>
      <c r="BY14" s="141">
        <f>IF(BY$2&gt;Input_Tidshorisont,BlankTegn,IF(BY$2=0,SUM(Materialedata[[#This Row],[A1-A3/m²]:[A4/m²]]),
BX14+IF(BY$2=Input_Tidshorisont,SUM(Materialedata[[#This Row],[C3/m²]:[C4/m²]]),IF(MOD(BY$2,Materialedata[[#This Row],[Levetid]])=0,SUM(Materialedata[[#This Row],[A1-A3/m²]:[C4/m²]]),0))
))</f>
        <v>11.132999855999998</v>
      </c>
      <c r="BZ14" s="141">
        <f>IF(BZ$2&gt;Input_Tidshorisont,BlankTegn,IF(BZ$2=0,SUM(Materialedata[[#This Row],[A1-A3/m²]:[A4/m²]]),
BY14+IF(BZ$2=Input_Tidshorisont,SUM(Materialedata[[#This Row],[C3/m²]:[C4/m²]]),IF(MOD(BZ$2,Materialedata[[#This Row],[Levetid]])=0,SUM(Materialedata[[#This Row],[A1-A3/m²]:[C4/m²]]),0))
))</f>
        <v>11.132999855999998</v>
      </c>
      <c r="CA14" s="141">
        <f>IF(CA$2&gt;Input_Tidshorisont,BlankTegn,IF(CA$2=0,SUM(Materialedata[[#This Row],[A1-A3/m²]:[A4/m²]]),
BZ14+IF(CA$2=Input_Tidshorisont,SUM(Materialedata[[#This Row],[C3/m²]:[C4/m²]]),IF(MOD(CA$2,Materialedata[[#This Row],[Levetid]])=0,SUM(Materialedata[[#This Row],[A1-A3/m²]:[C4/m²]]),0))
))</f>
        <v>11.132999855999998</v>
      </c>
      <c r="CB14" s="141">
        <f>IF(CB$2&gt;Input_Tidshorisont,BlankTegn,IF(CB$2=0,SUM(Materialedata[[#This Row],[A1-A3/m²]:[A4/m²]]),
CA14+IF(CB$2=Input_Tidshorisont,SUM(Materialedata[[#This Row],[C3/m²]:[C4/m²]]),IF(MOD(CB$2,Materialedata[[#This Row],[Levetid]])=0,SUM(Materialedata[[#This Row],[A1-A3/m²]:[C4/m²]]),0))
))</f>
        <v>11.132999855999998</v>
      </c>
      <c r="CC14" s="141">
        <f>IF(CC$2&gt;Input_Tidshorisont,BlankTegn,IF(CC$2=0,SUM(Materialedata[[#This Row],[A1-A3/m²]:[A4/m²]]),
CB14+IF(CC$2=Input_Tidshorisont,SUM(Materialedata[[#This Row],[C3/m²]:[C4/m²]]),IF(MOD(CC$2,Materialedata[[#This Row],[Levetid]])=0,SUM(Materialedata[[#This Row],[A1-A3/m²]:[C4/m²]]),0))
))</f>
        <v>11.132999855999998</v>
      </c>
      <c r="CD14" s="141">
        <f>IF(CD$2&gt;Input_Tidshorisont,BlankTegn,IF(CD$2=0,SUM(Materialedata[[#This Row],[A1-A3/m²]:[A4/m²]]),
CC14+IF(CD$2=Input_Tidshorisont,SUM(Materialedata[[#This Row],[C3/m²]:[C4/m²]]),IF(MOD(CD$2,Materialedata[[#This Row],[Levetid]])=0,SUM(Materialedata[[#This Row],[A1-A3/m²]:[C4/m²]]),0))
))</f>
        <v>11.132999855999998</v>
      </c>
      <c r="CE14" s="141">
        <f>IF(CE$2&gt;Input_Tidshorisont,BlankTegn,IF(CE$2=0,SUM(Materialedata[[#This Row],[A1-A3/m²]:[A4/m²]]),
CD14+IF(CE$2=Input_Tidshorisont,SUM(Materialedata[[#This Row],[C3/m²]:[C4/m²]]),IF(MOD(CE$2,Materialedata[[#This Row],[Levetid]])=0,SUM(Materialedata[[#This Row],[A1-A3/m²]:[C4/m²]]),0))
))</f>
        <v>11.132999855999998</v>
      </c>
      <c r="CF14" s="141">
        <f>IF(CF$2&gt;Input_Tidshorisont,BlankTegn,IF(CF$2=0,SUM(Materialedata[[#This Row],[A1-A3/m²]:[A4/m²]]),
CE14+IF(CF$2=Input_Tidshorisont,SUM(Materialedata[[#This Row],[C3/m²]:[C4/m²]]),IF(MOD(CF$2,Materialedata[[#This Row],[Levetid]])=0,SUM(Materialedata[[#This Row],[A1-A3/m²]:[C4/m²]]),0))
))</f>
        <v>11.132999855999998</v>
      </c>
      <c r="CG14" s="141">
        <f>IF(CG$2&gt;Input_Tidshorisont,BlankTegn,IF(CG$2=0,SUM(Materialedata[[#This Row],[A1-A3/m²]:[A4/m²]]),
CF14+IF(CG$2=Input_Tidshorisont,SUM(Materialedata[[#This Row],[C3/m²]:[C4/m²]]),IF(MOD(CG$2,Materialedata[[#This Row],[Levetid]])=0,SUM(Materialedata[[#This Row],[A1-A3/m²]:[C4/m²]]),0))
))</f>
        <v>11.132999855999998</v>
      </c>
      <c r="CH14" s="141">
        <f>IF(CH$2&gt;Input_Tidshorisont,BlankTegn,IF(CH$2=0,SUM(Materialedata[[#This Row],[A1-A3/m²]:[A4/m²]]),
CG14+IF(CH$2=Input_Tidshorisont,SUM(Materialedata[[#This Row],[C3/m²]:[C4/m²]]),IF(MOD(CH$2,Materialedata[[#This Row],[Levetid]])=0,SUM(Materialedata[[#This Row],[A1-A3/m²]:[C4/m²]]),0))
))</f>
        <v>11.600076311999997</v>
      </c>
      <c r="CI14" s="141" t="str">
        <f>IF(CI$2&gt;Input_Tidshorisont,BlankTegn,IF(CI$2=0,SUM(Materialedata[[#This Row],[A1-A3/m²]:[A4/m²]]),
CH14+IF(CI$2=Input_Tidshorisont,SUM(Materialedata[[#This Row],[C3/m²]:[C4/m²]]),IF(MOD(CI$2,Materialedata[[#This Row],[Levetid]])=0,SUM(Materialedata[[#This Row],[A1-A3/m²]:[C4/m²]]),0))
))</f>
        <v>.</v>
      </c>
      <c r="CJ14" s="141" t="str">
        <f>IF(CJ$2&gt;Input_Tidshorisont,BlankTegn,IF(CJ$2=0,SUM(Materialedata[[#This Row],[A1-A3/m²]:[A4/m²]]),
CI14+IF(CJ$2=Input_Tidshorisont,SUM(Materialedata[[#This Row],[C3/m²]:[C4/m²]]),IF(MOD(CJ$2,Materialedata[[#This Row],[Levetid]])=0,SUM(Materialedata[[#This Row],[A1-A3/m²]:[C4/m²]]),0))
))</f>
        <v>.</v>
      </c>
      <c r="CK14" s="141" t="str">
        <f>IF(CK$2&gt;Input_Tidshorisont,BlankTegn,IF(CK$2=0,SUM(Materialedata[[#This Row],[A1-A3/m²]:[A4/m²]]),
CJ14+IF(CK$2=Input_Tidshorisont,SUM(Materialedata[[#This Row],[C3/m²]:[C4/m²]]),IF(MOD(CK$2,Materialedata[[#This Row],[Levetid]])=0,SUM(Materialedata[[#This Row],[A1-A3/m²]:[C4/m²]]),0))
))</f>
        <v>.</v>
      </c>
      <c r="CL14" s="141" t="str">
        <f>IF(CL$2&gt;Input_Tidshorisont,BlankTegn,IF(CL$2=0,SUM(Materialedata[[#This Row],[A1-A3/m²]:[A4/m²]]),
CK14+IF(CL$2=Input_Tidshorisont,SUM(Materialedata[[#This Row],[C3/m²]:[C4/m²]]),IF(MOD(CL$2,Materialedata[[#This Row],[Levetid]])=0,SUM(Materialedata[[#This Row],[A1-A3/m²]:[C4/m²]]),0))
))</f>
        <v>.</v>
      </c>
      <c r="CM14" s="141" t="str">
        <f>IF(CM$2&gt;Input_Tidshorisont,BlankTegn,IF(CM$2=0,SUM(Materialedata[[#This Row],[A1-A3/m²]:[A4/m²]]),
CL14+IF(CM$2=Input_Tidshorisont,SUM(Materialedata[[#This Row],[C3/m²]:[C4/m²]]),IF(MOD(CM$2,Materialedata[[#This Row],[Levetid]])=0,SUM(Materialedata[[#This Row],[A1-A3/m²]:[C4/m²]]),0))
))</f>
        <v>.</v>
      </c>
      <c r="CN14" s="141" t="str">
        <f>IF(CN$2&gt;Input_Tidshorisont,BlankTegn,IF(CN$2=0,SUM(Materialedata[[#This Row],[A1-A3/m²]:[A4/m²]]),
CM14+IF(CN$2=Input_Tidshorisont,SUM(Materialedata[[#This Row],[C3/m²]:[C4/m²]]),IF(MOD(CN$2,Materialedata[[#This Row],[Levetid]])=0,SUM(Materialedata[[#This Row],[A1-A3/m²]:[C4/m²]]),0))
))</f>
        <v>.</v>
      </c>
      <c r="CO14" s="141" t="str">
        <f>IF(CO$2&gt;Input_Tidshorisont,BlankTegn,IF(CO$2=0,SUM(Materialedata[[#This Row],[A1-A3/m²]:[A4/m²]]),
CN14+IF(CO$2=Input_Tidshorisont,SUM(Materialedata[[#This Row],[C3/m²]:[C4/m²]]),IF(MOD(CO$2,Materialedata[[#This Row],[Levetid]])=0,SUM(Materialedata[[#This Row],[A1-A3/m²]:[C4/m²]]),0))
))</f>
        <v>.</v>
      </c>
      <c r="CP14" s="141" t="str">
        <f>IF(CP$2&gt;Input_Tidshorisont,BlankTegn,IF(CP$2=0,SUM(Materialedata[[#This Row],[A1-A3/m²]:[A4/m²]]),
CO14+IF(CP$2=Input_Tidshorisont,SUM(Materialedata[[#This Row],[C3/m²]:[C4/m²]]),IF(MOD(CP$2,Materialedata[[#This Row],[Levetid]])=0,SUM(Materialedata[[#This Row],[A1-A3/m²]:[C4/m²]]),0))
))</f>
        <v>.</v>
      </c>
      <c r="CQ14" s="141" t="str">
        <f>IF(CQ$2&gt;Input_Tidshorisont,BlankTegn,IF(CQ$2=0,SUM(Materialedata[[#This Row],[A1-A3/m²]:[A4/m²]]),
CP14+IF(CQ$2=Input_Tidshorisont,SUM(Materialedata[[#This Row],[C3/m²]:[C4/m²]]),IF(MOD(CQ$2,Materialedata[[#This Row],[Levetid]])=0,SUM(Materialedata[[#This Row],[A1-A3/m²]:[C4/m²]]),0))
))</f>
        <v>.</v>
      </c>
      <c r="CR14" s="141" t="str">
        <f>IF(CR$2&gt;Input_Tidshorisont,BlankTegn,IF(CR$2=0,SUM(Materialedata[[#This Row],[A1-A3/m²]:[A4/m²]]),
CQ14+IF(CR$2=Input_Tidshorisont,SUM(Materialedata[[#This Row],[C3/m²]:[C4/m²]]),IF(MOD(CR$2,Materialedata[[#This Row],[Levetid]])=0,SUM(Materialedata[[#This Row],[A1-A3/m²]:[C4/m²]]),0))
))</f>
        <v>.</v>
      </c>
      <c r="CS14" s="141" t="str">
        <f>IF(CS$2&gt;Input_Tidshorisont,BlankTegn,IF(CS$2=0,SUM(Materialedata[[#This Row],[A1-A3/m²]:[A4/m²]]),
CR14+IF(CS$2=Input_Tidshorisont,SUM(Materialedata[[#This Row],[C3/m²]:[C4/m²]]),IF(MOD(CS$2,Materialedata[[#This Row],[Levetid]])=0,SUM(Materialedata[[#This Row],[A1-A3/m²]:[C4/m²]]),0))
))</f>
        <v>.</v>
      </c>
      <c r="CT14" s="141" t="str">
        <f>IF(CT$2&gt;Input_Tidshorisont,BlankTegn,IF(CT$2=0,SUM(Materialedata[[#This Row],[A1-A3/m²]:[A4/m²]]),
CS14+IF(CT$2=Input_Tidshorisont,SUM(Materialedata[[#This Row],[C3/m²]:[C4/m²]]),IF(MOD(CT$2,Materialedata[[#This Row],[Levetid]])=0,SUM(Materialedata[[#This Row],[A1-A3/m²]:[C4/m²]]),0))
))</f>
        <v>.</v>
      </c>
      <c r="CU14" s="141" t="str">
        <f>IF(CU$2&gt;Input_Tidshorisont,BlankTegn,IF(CU$2=0,SUM(Materialedata[[#This Row],[A1-A3/m²]:[A4/m²]]),
CT14+IF(CU$2=Input_Tidshorisont,SUM(Materialedata[[#This Row],[C3/m²]:[C4/m²]]),IF(MOD(CU$2,Materialedata[[#This Row],[Levetid]])=0,SUM(Materialedata[[#This Row],[A1-A3/m²]:[C4/m²]]),0))
))</f>
        <v>.</v>
      </c>
      <c r="CV14" s="141" t="str">
        <f>IF(CV$2&gt;Input_Tidshorisont,BlankTegn,IF(CV$2=0,SUM(Materialedata[[#This Row],[A1-A3/m²]:[A4/m²]]),
CU14+IF(CV$2=Input_Tidshorisont,SUM(Materialedata[[#This Row],[C3/m²]:[C4/m²]]),IF(MOD(CV$2,Materialedata[[#This Row],[Levetid]])=0,SUM(Materialedata[[#This Row],[A1-A3/m²]:[C4/m²]]),0))
))</f>
        <v>.</v>
      </c>
      <c r="CW14" s="141" t="str">
        <f>IF(CW$2&gt;Input_Tidshorisont,BlankTegn,IF(CW$2=0,SUM(Materialedata[[#This Row],[A1-A3/m²]:[A4/m²]]),
CV14+IF(CW$2=Input_Tidshorisont,SUM(Materialedata[[#This Row],[C3/m²]:[C4/m²]]),IF(MOD(CW$2,Materialedata[[#This Row],[Levetid]])=0,SUM(Materialedata[[#This Row],[A1-A3/m²]:[C4/m²]]),0))
))</f>
        <v>.</v>
      </c>
      <c r="CX14" s="141" t="str">
        <f>IF(CX$2&gt;Input_Tidshorisont,BlankTegn,IF(CX$2=0,SUM(Materialedata[[#This Row],[A1-A3/m²]:[A4/m²]]),
CW14+IF(CX$2=Input_Tidshorisont,SUM(Materialedata[[#This Row],[C3/m²]:[C4/m²]]),IF(MOD(CX$2,Materialedata[[#This Row],[Levetid]])=0,SUM(Materialedata[[#This Row],[A1-A3/m²]:[C4/m²]]),0))
))</f>
        <v>.</v>
      </c>
      <c r="CY14" s="141" t="str">
        <f>IF(CY$2&gt;Input_Tidshorisont,BlankTegn,IF(CY$2=0,SUM(Materialedata[[#This Row],[A1-A3/m²]:[A4/m²]]),
CX14+IF(CY$2=Input_Tidshorisont,SUM(Materialedata[[#This Row],[C3/m²]:[C4/m²]]),IF(MOD(CY$2,Materialedata[[#This Row],[Levetid]])=0,SUM(Materialedata[[#This Row],[A1-A3/m²]:[C4/m²]]),0))
))</f>
        <v>.</v>
      </c>
      <c r="CZ14" s="141" t="str">
        <f>IF(CZ$2&gt;Input_Tidshorisont,BlankTegn,IF(CZ$2=0,SUM(Materialedata[[#This Row],[A1-A3/m²]:[A4/m²]]),
CY14+IF(CZ$2=Input_Tidshorisont,SUM(Materialedata[[#This Row],[C3/m²]:[C4/m²]]),IF(MOD(CZ$2,Materialedata[[#This Row],[Levetid]])=0,SUM(Materialedata[[#This Row],[A1-A3/m²]:[C4/m²]]),0))
))</f>
        <v>.</v>
      </c>
      <c r="DA14" s="141" t="str">
        <f>IF(DA$2&gt;Input_Tidshorisont,BlankTegn,IF(DA$2=0,SUM(Materialedata[[#This Row],[A1-A3/m²]:[A4/m²]]),
CZ14+IF(DA$2=Input_Tidshorisont,SUM(Materialedata[[#This Row],[C3/m²]:[C4/m²]]),IF(MOD(DA$2,Materialedata[[#This Row],[Levetid]])=0,SUM(Materialedata[[#This Row],[A1-A3/m²]:[C4/m²]]),0))
))</f>
        <v>.</v>
      </c>
      <c r="DB14" s="141" t="str">
        <f>IF(DB$2&gt;Input_Tidshorisont,BlankTegn,IF(DB$2=0,SUM(Materialedata[[#This Row],[A1-A3/m²]:[A4/m²]]),
DA14+IF(DB$2=Input_Tidshorisont,SUM(Materialedata[[#This Row],[C3/m²]:[C4/m²]]),IF(MOD(DB$2,Materialedata[[#This Row],[Levetid]])=0,SUM(Materialedata[[#This Row],[A1-A3/m²]:[C4/m²]]),0))
))</f>
        <v>.</v>
      </c>
      <c r="DC14" s="141" t="str">
        <f>IF(DC$2&gt;Input_Tidshorisont,BlankTegn,IF(DC$2=0,SUM(Materialedata[[#This Row],[A1-A3/m²]:[A4/m²]]),
DB14+IF(DC$2=Input_Tidshorisont,SUM(Materialedata[[#This Row],[C3/m²]:[C4/m²]]),IF(MOD(DC$2,Materialedata[[#This Row],[Levetid]])=0,SUM(Materialedata[[#This Row],[A1-A3/m²]:[C4/m²]]),0))
))</f>
        <v>.</v>
      </c>
      <c r="DD14" s="141" t="str">
        <f>IF(DD$2&gt;Input_Tidshorisont,BlankTegn,IF(DD$2=0,SUM(Materialedata[[#This Row],[A1-A3/m²]:[A4/m²]]),
DC14+IF(DD$2=Input_Tidshorisont,SUM(Materialedata[[#This Row],[C3/m²]:[C4/m²]]),IF(MOD(DD$2,Materialedata[[#This Row],[Levetid]])=0,SUM(Materialedata[[#This Row],[A1-A3/m²]:[C4/m²]]),0))
))</f>
        <v>.</v>
      </c>
      <c r="DE14" s="141" t="str">
        <f>IF(DE$2&gt;Input_Tidshorisont,BlankTegn,IF(DE$2=0,SUM(Materialedata[[#This Row],[A1-A3/m²]:[A4/m²]]),
DD14+IF(DE$2=Input_Tidshorisont,SUM(Materialedata[[#This Row],[C3/m²]:[C4/m²]]),IF(MOD(DE$2,Materialedata[[#This Row],[Levetid]])=0,SUM(Materialedata[[#This Row],[A1-A3/m²]:[C4/m²]]),0))
))</f>
        <v>.</v>
      </c>
      <c r="DF14" s="141" t="str">
        <f>IF(DF$2&gt;Input_Tidshorisont,BlankTegn,IF(DF$2=0,SUM(Materialedata[[#This Row],[A1-A3/m²]:[A4/m²]]),
DE14+IF(DF$2=Input_Tidshorisont,SUM(Materialedata[[#This Row],[C3/m²]:[C4/m²]]),IF(MOD(DF$2,Materialedata[[#This Row],[Levetid]])=0,SUM(Materialedata[[#This Row],[A1-A3/m²]:[C4/m²]]),0))
))</f>
        <v>.</v>
      </c>
      <c r="DG14" s="141" t="str">
        <f>IF(DG$2&gt;Input_Tidshorisont,BlankTegn,IF(DG$2=0,SUM(Materialedata[[#This Row],[A1-A3/m²]:[A4/m²]]),
DF14+IF(DG$2=Input_Tidshorisont,SUM(Materialedata[[#This Row],[C3/m²]:[C4/m²]]),IF(MOD(DG$2,Materialedata[[#This Row],[Levetid]])=0,SUM(Materialedata[[#This Row],[A1-A3/m²]:[C4/m²]]),0))
))</f>
        <v>.</v>
      </c>
      <c r="DH14" s="141" t="str">
        <f>IF(DH$2&gt;Input_Tidshorisont,BlankTegn,IF(DH$2=0,SUM(Materialedata[[#This Row],[A1-A3/m²]:[A4/m²]]),
DG14+IF(DH$2=Input_Tidshorisont,SUM(Materialedata[[#This Row],[C3/m²]:[C4/m²]]),IF(MOD(DH$2,Materialedata[[#This Row],[Levetid]])=0,SUM(Materialedata[[#This Row],[A1-A3/m²]:[C4/m²]]),0))
))</f>
        <v>.</v>
      </c>
      <c r="DI14" s="141" t="str">
        <f>IF(DI$2&gt;Input_Tidshorisont,BlankTegn,IF(DI$2=0,SUM(Materialedata[[#This Row],[A1-A3/m²]:[A4/m²]]),
DH14+IF(DI$2=Input_Tidshorisont,SUM(Materialedata[[#This Row],[C3/m²]:[C4/m²]]),IF(MOD(DI$2,Materialedata[[#This Row],[Levetid]])=0,SUM(Materialedata[[#This Row],[A1-A3/m²]:[C4/m²]]),0))
))</f>
        <v>.</v>
      </c>
      <c r="DJ14" s="141" t="str">
        <f>IF(DJ$2&gt;Input_Tidshorisont,BlankTegn,IF(DJ$2=0,SUM(Materialedata[[#This Row],[A1-A3/m²]:[A4/m²]]),
DI14+IF(DJ$2=Input_Tidshorisont,SUM(Materialedata[[#This Row],[C3/m²]:[C4/m²]]),IF(MOD(DJ$2,Materialedata[[#This Row],[Levetid]])=0,SUM(Materialedata[[#This Row],[A1-A3/m²]:[C4/m²]]),0))
))</f>
        <v>.</v>
      </c>
      <c r="DK14" s="141" t="str">
        <f>IF(DK$2&gt;Input_Tidshorisont,BlankTegn,IF(DK$2=0,SUM(Materialedata[[#This Row],[A1-A3/m²]:[A4/m²]]),
DJ14+IF(DK$2=Input_Tidshorisont,SUM(Materialedata[[#This Row],[C3/m²]:[C4/m²]]),IF(MOD(DK$2,Materialedata[[#This Row],[Levetid]])=0,SUM(Materialedata[[#This Row],[A1-A3/m²]:[C4/m²]]),0))
))</f>
        <v>.</v>
      </c>
      <c r="DL14" s="141" t="str">
        <f>IF(DL$2&gt;Input_Tidshorisont,BlankTegn,IF(DL$2=0,SUM(Materialedata[[#This Row],[A1-A3/m²]:[A4/m²]]),
DK14+IF(DL$2=Input_Tidshorisont,SUM(Materialedata[[#This Row],[C3/m²]:[C4/m²]]),IF(MOD(DL$2,Materialedata[[#This Row],[Levetid]])=0,SUM(Materialedata[[#This Row],[A1-A3/m²]:[C4/m²]]),0))
))</f>
        <v>.</v>
      </c>
      <c r="DM14" s="19"/>
    </row>
    <row r="15" spans="1:117">
      <c r="A15" s="182" t="s">
        <v>42</v>
      </c>
      <c r="B15" s="182" t="s">
        <v>148</v>
      </c>
      <c r="C15" s="148" t="s">
        <v>131</v>
      </c>
      <c r="D15" s="180" t="s">
        <v>276</v>
      </c>
      <c r="E15" s="180" t="s">
        <v>276</v>
      </c>
      <c r="F15" s="182" t="s">
        <v>134</v>
      </c>
      <c r="G15" s="182">
        <v>120</v>
      </c>
      <c r="H15" s="183">
        <v>7850</v>
      </c>
      <c r="I15" s="193">
        <f>(((6.6*0.333)*2)/1.2)*1.15*1.1</f>
        <v>4.6336950000000003</v>
      </c>
      <c r="J15" s="184" t="s">
        <v>101</v>
      </c>
      <c r="K15" s="188">
        <f t="shared" ref="K15:K16" si="0">2190/1000</f>
        <v>2.19</v>
      </c>
      <c r="L15" s="182" t="s">
        <v>209</v>
      </c>
      <c r="M15" s="185">
        <f>IF(ISBLANK(Materialedata[[#This Row],[A4-gruppe]]),BlankTegn,INDEX(Byggeproces[GWP],MATCH(Materialedata[[#This Row],[A4-gruppe]],Byggeproces[Gruppe/Undergruppe],0)))</f>
        <v>1.24E-2</v>
      </c>
      <c r="N15" s="182">
        <f t="shared" ref="N15:N16" si="1">46.5/1000</f>
        <v>4.65E-2</v>
      </c>
      <c r="O15" s="182">
        <f t="shared" ref="O15:O16" si="2">45.9/1000</f>
        <v>4.5899999999999996E-2</v>
      </c>
      <c r="P15" s="182">
        <f t="shared" ref="P15:P16" si="3">-1.05/1000</f>
        <v>-1.0500000000000002E-3</v>
      </c>
      <c r="Q15" s="279">
        <f>Materialedata[[#This Row],[A1-A3/standardenhed]]*Materialedata[[#This Row],[Mængde/m²]]</f>
        <v>10.14779205</v>
      </c>
      <c r="R15" s="276" cm="1">
        <f t="array" ref="R15">IFERROR(_xlfn.IFS(Materialedata[[#This Row],[Mængde-enhed]]="kg/m²",Materialedata[[#This Row],[A4/kg]]*Materialedata[[#This Row],[Mængde/m²]],Materialedata[[#This Row],[Mængde-enhed]]="m³/m²",Materialedata[[#This Row],[A4/kg]]*Materialedata[[#This Row],[Mængde/m²]]*Materialedata[[#This Row],[Densitet]]),"N/A")</f>
        <v>5.7457818000000001E-2</v>
      </c>
      <c r="S15" s="188">
        <f>Materialedata[[#This Row],[C3/enhed]]*Materialedata[[#This Row],[Mængde/m²]]</f>
        <v>0.21546681750000002</v>
      </c>
      <c r="T15" s="188">
        <f>Materialedata[[#This Row],[C4/enhed]]*Materialedata[[#This Row],[Mængde/m²]]</f>
        <v>0.21268660049999999</v>
      </c>
      <c r="U15" s="188">
        <f>Materialedata[[#This Row],[D/enhed]]*Materialedata[[#This Row],[Mængde/m²]]</f>
        <v>-4.8653797500000009E-3</v>
      </c>
      <c r="V15" s="150">
        <f>IFERROR(INDEX(Range_Materiale_Genbrug,MATCH(Materialedata[[#This Row],[Komponent]],Facadekomponenter,0)),BlankTegn)</f>
        <v>0</v>
      </c>
      <c r="W15" s="150">
        <f>IFERROR(1-Materialedata[[#This Row],[Genbrug]],BlankTegn)</f>
        <v>1</v>
      </c>
      <c r="X15" s="186">
        <f>IFERROR(Materialedata[[#This Row],[A1-A3/m²_nyt]]*Materialedata[[#This Row],[Nyt]],BlankTegn)</f>
        <v>10.14779205</v>
      </c>
      <c r="Y15" s="186">
        <f>Materialedata[[#This Row],[A4/m²_nyt]]</f>
        <v>5.7457818000000001E-2</v>
      </c>
      <c r="Z15" s="186">
        <f>IFERROR(Materialedata[[#This Row],[C3/m²_nyt]]*Materialedata[[#This Row],[Nyt]],BlankTegn)</f>
        <v>0.21546681750000002</v>
      </c>
      <c r="AA15" s="186">
        <f>IFERROR(Materialedata[[#This Row],[C4/m²_nyt]]*Materialedata[[#This Row],[Nyt]],BlankTegn)</f>
        <v>0.21268660049999999</v>
      </c>
      <c r="AB15" s="186">
        <f>IFERROR(Materialedata[[#This Row],[D/m²_nyt]]*Materialedata[[#This Row],[Nyt]],BlankTegn)</f>
        <v>-4.8653797500000009E-3</v>
      </c>
      <c r="AC15" s="187">
        <f>AC14</f>
        <v>39.532456949949207</v>
      </c>
      <c r="AD15" s="188" t="s">
        <v>134</v>
      </c>
      <c r="AE15" s="277">
        <f>1*Materialedata[[#This Row],[Mængde/m²]]</f>
        <v>4.6336950000000003</v>
      </c>
      <c r="AF15" s="189">
        <f>Materialedata[[#This Row],[Pris/enhed]]*Materialedata[[#This Row],[Omregning]]</f>
        <v>183.18134810669491</v>
      </c>
      <c r="AG15" s="190">
        <v>0.03</v>
      </c>
      <c r="AH15" s="191">
        <v>1</v>
      </c>
      <c r="AI15" s="162">
        <v>0</v>
      </c>
      <c r="AJ15" s="141">
        <f>IF(AJ$2&gt;Input_Tidshorisont,BlankTegn,IF(AJ$2=0,SUM(Materialedata[[#This Row],[A1-A3/m²]:[A4/m²]]),
AI15+IF(AJ$2=Input_Tidshorisont,SUM(Materialedata[[#This Row],[C3/m²]:[C4/m²]]),IF(MOD(AJ$2,Materialedata[[#This Row],[Levetid]])=0,SUM(Materialedata[[#This Row],[A1-A3/m²]:[C4/m²]]),0))
))</f>
        <v>10.205249867999999</v>
      </c>
      <c r="AK15" s="141">
        <f>IF(AK$2&gt;Input_Tidshorisont,BlankTegn,IF(AK$2=0,SUM(Materialedata[[#This Row],[A1-A3/m²]:[A4/m²]]),
AJ15+IF(AK$2=Input_Tidshorisont,SUM(Materialedata[[#This Row],[C3/m²]:[C4/m²]]),IF(MOD(AK$2,Materialedata[[#This Row],[Levetid]])=0,SUM(Materialedata[[#This Row],[A1-A3/m²]:[C4/m²]]),0))
))</f>
        <v>10.205249867999999</v>
      </c>
      <c r="AL15" s="141">
        <f>IF(AL$2&gt;Input_Tidshorisont,BlankTegn,IF(AL$2=0,SUM(Materialedata[[#This Row],[A1-A3/m²]:[A4/m²]]),
AK15+IF(AL$2=Input_Tidshorisont,SUM(Materialedata[[#This Row],[C3/m²]:[C4/m²]]),IF(MOD(AL$2,Materialedata[[#This Row],[Levetid]])=0,SUM(Materialedata[[#This Row],[A1-A3/m²]:[C4/m²]]),0))
))</f>
        <v>10.205249867999999</v>
      </c>
      <c r="AM15" s="141">
        <f>IF(AM$2&gt;Input_Tidshorisont,BlankTegn,IF(AM$2=0,SUM(Materialedata[[#This Row],[A1-A3/m²]:[A4/m²]]),
AL15+IF(AM$2=Input_Tidshorisont,SUM(Materialedata[[#This Row],[C3/m²]:[C4/m²]]),IF(MOD(AM$2,Materialedata[[#This Row],[Levetid]])=0,SUM(Materialedata[[#This Row],[A1-A3/m²]:[C4/m²]]),0))
))</f>
        <v>10.205249867999999</v>
      </c>
      <c r="AN15" s="141">
        <f>IF(AN$2&gt;Input_Tidshorisont,BlankTegn,IF(AN$2=0,SUM(Materialedata[[#This Row],[A1-A3/m²]:[A4/m²]]),
AM15+IF(AN$2=Input_Tidshorisont,SUM(Materialedata[[#This Row],[C3/m²]:[C4/m²]]),IF(MOD(AN$2,Materialedata[[#This Row],[Levetid]])=0,SUM(Materialedata[[#This Row],[A1-A3/m²]:[C4/m²]]),0))
))</f>
        <v>10.205249867999999</v>
      </c>
      <c r="AO15" s="141">
        <f>IF(AO$2&gt;Input_Tidshorisont,BlankTegn,IF(AO$2=0,SUM(Materialedata[[#This Row],[A1-A3/m²]:[A4/m²]]),
AN15+IF(AO$2=Input_Tidshorisont,SUM(Materialedata[[#This Row],[C3/m²]:[C4/m²]]),IF(MOD(AO$2,Materialedata[[#This Row],[Levetid]])=0,SUM(Materialedata[[#This Row],[A1-A3/m²]:[C4/m²]]),0))
))</f>
        <v>10.205249867999999</v>
      </c>
      <c r="AP15" s="141">
        <f>IF(AP$2&gt;Input_Tidshorisont,BlankTegn,IF(AP$2=0,SUM(Materialedata[[#This Row],[A1-A3/m²]:[A4/m²]]),
AO15+IF(AP$2=Input_Tidshorisont,SUM(Materialedata[[#This Row],[C3/m²]:[C4/m²]]),IF(MOD(AP$2,Materialedata[[#This Row],[Levetid]])=0,SUM(Materialedata[[#This Row],[A1-A3/m²]:[C4/m²]]),0))
))</f>
        <v>10.205249867999999</v>
      </c>
      <c r="AQ15" s="141">
        <f>IF(AQ$2&gt;Input_Tidshorisont,BlankTegn,IF(AQ$2=0,SUM(Materialedata[[#This Row],[A1-A3/m²]:[A4/m²]]),
AP15+IF(AQ$2=Input_Tidshorisont,SUM(Materialedata[[#This Row],[C3/m²]:[C4/m²]]),IF(MOD(AQ$2,Materialedata[[#This Row],[Levetid]])=0,SUM(Materialedata[[#This Row],[A1-A3/m²]:[C4/m²]]),0))
))</f>
        <v>10.205249867999999</v>
      </c>
      <c r="AR15" s="141">
        <f>IF(AR$2&gt;Input_Tidshorisont,BlankTegn,IF(AR$2=0,SUM(Materialedata[[#This Row],[A1-A3/m²]:[A4/m²]]),
AQ15+IF(AR$2=Input_Tidshorisont,SUM(Materialedata[[#This Row],[C3/m²]:[C4/m²]]),IF(MOD(AR$2,Materialedata[[#This Row],[Levetid]])=0,SUM(Materialedata[[#This Row],[A1-A3/m²]:[C4/m²]]),0))
))</f>
        <v>10.205249867999999</v>
      </c>
      <c r="AS15" s="141">
        <f>IF(AS$2&gt;Input_Tidshorisont,BlankTegn,IF(AS$2=0,SUM(Materialedata[[#This Row],[A1-A3/m²]:[A4/m²]]),
AR15+IF(AS$2=Input_Tidshorisont,SUM(Materialedata[[#This Row],[C3/m²]:[C4/m²]]),IF(MOD(AS$2,Materialedata[[#This Row],[Levetid]])=0,SUM(Materialedata[[#This Row],[A1-A3/m²]:[C4/m²]]),0))
))</f>
        <v>10.205249867999999</v>
      </c>
      <c r="AT15" s="141">
        <f>IF(AT$2&gt;Input_Tidshorisont,BlankTegn,IF(AT$2=0,SUM(Materialedata[[#This Row],[A1-A3/m²]:[A4/m²]]),
AS15+IF(AT$2=Input_Tidshorisont,SUM(Materialedata[[#This Row],[C3/m²]:[C4/m²]]),IF(MOD(AT$2,Materialedata[[#This Row],[Levetid]])=0,SUM(Materialedata[[#This Row],[A1-A3/m²]:[C4/m²]]),0))
))</f>
        <v>10.205249867999999</v>
      </c>
      <c r="AU15" s="141">
        <f>IF(AU$2&gt;Input_Tidshorisont,BlankTegn,IF(AU$2=0,SUM(Materialedata[[#This Row],[A1-A3/m²]:[A4/m²]]),
AT15+IF(AU$2=Input_Tidshorisont,SUM(Materialedata[[#This Row],[C3/m²]:[C4/m²]]),IF(MOD(AU$2,Materialedata[[#This Row],[Levetid]])=0,SUM(Materialedata[[#This Row],[A1-A3/m²]:[C4/m²]]),0))
))</f>
        <v>10.205249867999999</v>
      </c>
      <c r="AV15" s="141">
        <f>IF(AV$2&gt;Input_Tidshorisont,BlankTegn,IF(AV$2=0,SUM(Materialedata[[#This Row],[A1-A3/m²]:[A4/m²]]),
AU15+IF(AV$2=Input_Tidshorisont,SUM(Materialedata[[#This Row],[C3/m²]:[C4/m²]]),IF(MOD(AV$2,Materialedata[[#This Row],[Levetid]])=0,SUM(Materialedata[[#This Row],[A1-A3/m²]:[C4/m²]]),0))
))</f>
        <v>10.205249867999999</v>
      </c>
      <c r="AW15" s="141">
        <f>IF(AW$2&gt;Input_Tidshorisont,BlankTegn,IF(AW$2=0,SUM(Materialedata[[#This Row],[A1-A3/m²]:[A4/m²]]),
AV15+IF(AW$2=Input_Tidshorisont,SUM(Materialedata[[#This Row],[C3/m²]:[C4/m²]]),IF(MOD(AW$2,Materialedata[[#This Row],[Levetid]])=0,SUM(Materialedata[[#This Row],[A1-A3/m²]:[C4/m²]]),0))
))</f>
        <v>10.205249867999999</v>
      </c>
      <c r="AX15" s="141">
        <f>IF(AX$2&gt;Input_Tidshorisont,BlankTegn,IF(AX$2=0,SUM(Materialedata[[#This Row],[A1-A3/m²]:[A4/m²]]),
AW15+IF(AX$2=Input_Tidshorisont,SUM(Materialedata[[#This Row],[C3/m²]:[C4/m²]]),IF(MOD(AX$2,Materialedata[[#This Row],[Levetid]])=0,SUM(Materialedata[[#This Row],[A1-A3/m²]:[C4/m²]]),0))
))</f>
        <v>10.205249867999999</v>
      </c>
      <c r="AY15" s="141">
        <f>IF(AY$2&gt;Input_Tidshorisont,BlankTegn,IF(AY$2=0,SUM(Materialedata[[#This Row],[A1-A3/m²]:[A4/m²]]),
AX15+IF(AY$2=Input_Tidshorisont,SUM(Materialedata[[#This Row],[C3/m²]:[C4/m²]]),IF(MOD(AY$2,Materialedata[[#This Row],[Levetid]])=0,SUM(Materialedata[[#This Row],[A1-A3/m²]:[C4/m²]]),0))
))</f>
        <v>10.205249867999999</v>
      </c>
      <c r="AZ15" s="141">
        <f>IF(AZ$2&gt;Input_Tidshorisont,BlankTegn,IF(AZ$2=0,SUM(Materialedata[[#This Row],[A1-A3/m²]:[A4/m²]]),
AY15+IF(AZ$2=Input_Tidshorisont,SUM(Materialedata[[#This Row],[C3/m²]:[C4/m²]]),IF(MOD(AZ$2,Materialedata[[#This Row],[Levetid]])=0,SUM(Materialedata[[#This Row],[A1-A3/m²]:[C4/m²]]),0))
))</f>
        <v>10.205249867999999</v>
      </c>
      <c r="BA15" s="141">
        <f>IF(BA$2&gt;Input_Tidshorisont,BlankTegn,IF(BA$2=0,SUM(Materialedata[[#This Row],[A1-A3/m²]:[A4/m²]]),
AZ15+IF(BA$2=Input_Tidshorisont,SUM(Materialedata[[#This Row],[C3/m²]:[C4/m²]]),IF(MOD(BA$2,Materialedata[[#This Row],[Levetid]])=0,SUM(Materialedata[[#This Row],[A1-A3/m²]:[C4/m²]]),0))
))</f>
        <v>10.205249867999999</v>
      </c>
      <c r="BB15" s="141">
        <f>IF(BB$2&gt;Input_Tidshorisont,BlankTegn,IF(BB$2=0,SUM(Materialedata[[#This Row],[A1-A3/m²]:[A4/m²]]),
BA15+IF(BB$2=Input_Tidshorisont,SUM(Materialedata[[#This Row],[C3/m²]:[C4/m²]]),IF(MOD(BB$2,Materialedata[[#This Row],[Levetid]])=0,SUM(Materialedata[[#This Row],[A1-A3/m²]:[C4/m²]]),0))
))</f>
        <v>10.205249867999999</v>
      </c>
      <c r="BC15" s="141">
        <f>IF(BC$2&gt;Input_Tidshorisont,BlankTegn,IF(BC$2=0,SUM(Materialedata[[#This Row],[A1-A3/m²]:[A4/m²]]),
BB15+IF(BC$2=Input_Tidshorisont,SUM(Materialedata[[#This Row],[C3/m²]:[C4/m²]]),IF(MOD(BC$2,Materialedata[[#This Row],[Levetid]])=0,SUM(Materialedata[[#This Row],[A1-A3/m²]:[C4/m²]]),0))
))</f>
        <v>10.205249867999999</v>
      </c>
      <c r="BD15" s="141">
        <f>IF(BD$2&gt;Input_Tidshorisont,BlankTegn,IF(BD$2=0,SUM(Materialedata[[#This Row],[A1-A3/m²]:[A4/m²]]),
BC15+IF(BD$2=Input_Tidshorisont,SUM(Materialedata[[#This Row],[C3/m²]:[C4/m²]]),IF(MOD(BD$2,Materialedata[[#This Row],[Levetid]])=0,SUM(Materialedata[[#This Row],[A1-A3/m²]:[C4/m²]]),0))
))</f>
        <v>10.205249867999999</v>
      </c>
      <c r="BE15" s="141">
        <f>IF(BE$2&gt;Input_Tidshorisont,BlankTegn,IF(BE$2=0,SUM(Materialedata[[#This Row],[A1-A3/m²]:[A4/m²]]),
BD15+IF(BE$2=Input_Tidshorisont,SUM(Materialedata[[#This Row],[C3/m²]:[C4/m²]]),IF(MOD(BE$2,Materialedata[[#This Row],[Levetid]])=0,SUM(Materialedata[[#This Row],[A1-A3/m²]:[C4/m²]]),0))
))</f>
        <v>10.205249867999999</v>
      </c>
      <c r="BF15" s="141">
        <f>IF(BF$2&gt;Input_Tidshorisont,BlankTegn,IF(BF$2=0,SUM(Materialedata[[#This Row],[A1-A3/m²]:[A4/m²]]),
BE15+IF(BF$2=Input_Tidshorisont,SUM(Materialedata[[#This Row],[C3/m²]:[C4/m²]]),IF(MOD(BF$2,Materialedata[[#This Row],[Levetid]])=0,SUM(Materialedata[[#This Row],[A1-A3/m²]:[C4/m²]]),0))
))</f>
        <v>10.205249867999999</v>
      </c>
      <c r="BG15" s="141">
        <f>IF(BG$2&gt;Input_Tidshorisont,BlankTegn,IF(BG$2=0,SUM(Materialedata[[#This Row],[A1-A3/m²]:[A4/m²]]),
BF15+IF(BG$2=Input_Tidshorisont,SUM(Materialedata[[#This Row],[C3/m²]:[C4/m²]]),IF(MOD(BG$2,Materialedata[[#This Row],[Levetid]])=0,SUM(Materialedata[[#This Row],[A1-A3/m²]:[C4/m²]]),0))
))</f>
        <v>10.205249867999999</v>
      </c>
      <c r="BH15" s="141">
        <f>IF(BH$2&gt;Input_Tidshorisont,BlankTegn,IF(BH$2=0,SUM(Materialedata[[#This Row],[A1-A3/m²]:[A4/m²]]),
BG15+IF(BH$2=Input_Tidshorisont,SUM(Materialedata[[#This Row],[C3/m²]:[C4/m²]]),IF(MOD(BH$2,Materialedata[[#This Row],[Levetid]])=0,SUM(Materialedata[[#This Row],[A1-A3/m²]:[C4/m²]]),0))
))</f>
        <v>10.205249867999999</v>
      </c>
      <c r="BI15" s="141">
        <f>IF(BI$2&gt;Input_Tidshorisont,BlankTegn,IF(BI$2=0,SUM(Materialedata[[#This Row],[A1-A3/m²]:[A4/m²]]),
BH15+IF(BI$2=Input_Tidshorisont,SUM(Materialedata[[#This Row],[C3/m²]:[C4/m²]]),IF(MOD(BI$2,Materialedata[[#This Row],[Levetid]])=0,SUM(Materialedata[[#This Row],[A1-A3/m²]:[C4/m²]]),0))
))</f>
        <v>10.205249867999999</v>
      </c>
      <c r="BJ15" s="141">
        <f>IF(BJ$2&gt;Input_Tidshorisont,BlankTegn,IF(BJ$2=0,SUM(Materialedata[[#This Row],[A1-A3/m²]:[A4/m²]]),
BI15+IF(BJ$2=Input_Tidshorisont,SUM(Materialedata[[#This Row],[C3/m²]:[C4/m²]]),IF(MOD(BJ$2,Materialedata[[#This Row],[Levetid]])=0,SUM(Materialedata[[#This Row],[A1-A3/m²]:[C4/m²]]),0))
))</f>
        <v>10.205249867999999</v>
      </c>
      <c r="BK15" s="141">
        <f>IF(BK$2&gt;Input_Tidshorisont,BlankTegn,IF(BK$2=0,SUM(Materialedata[[#This Row],[A1-A3/m²]:[A4/m²]]),
BJ15+IF(BK$2=Input_Tidshorisont,SUM(Materialedata[[#This Row],[C3/m²]:[C4/m²]]),IF(MOD(BK$2,Materialedata[[#This Row],[Levetid]])=0,SUM(Materialedata[[#This Row],[A1-A3/m²]:[C4/m²]]),0))
))</f>
        <v>10.205249867999999</v>
      </c>
      <c r="BL15" s="141">
        <f>IF(BL$2&gt;Input_Tidshorisont,BlankTegn,IF(BL$2=0,SUM(Materialedata[[#This Row],[A1-A3/m²]:[A4/m²]]),
BK15+IF(BL$2=Input_Tidshorisont,SUM(Materialedata[[#This Row],[C3/m²]:[C4/m²]]),IF(MOD(BL$2,Materialedata[[#This Row],[Levetid]])=0,SUM(Materialedata[[#This Row],[A1-A3/m²]:[C4/m²]]),0))
))</f>
        <v>10.205249867999999</v>
      </c>
      <c r="BM15" s="141">
        <f>IF(BM$2&gt;Input_Tidshorisont,BlankTegn,IF(BM$2=0,SUM(Materialedata[[#This Row],[A1-A3/m²]:[A4/m²]]),
BL15+IF(BM$2=Input_Tidshorisont,SUM(Materialedata[[#This Row],[C3/m²]:[C4/m²]]),IF(MOD(BM$2,Materialedata[[#This Row],[Levetid]])=0,SUM(Materialedata[[#This Row],[A1-A3/m²]:[C4/m²]]),0))
))</f>
        <v>10.205249867999999</v>
      </c>
      <c r="BN15" s="141">
        <f>IF(BN$2&gt;Input_Tidshorisont,BlankTegn,IF(BN$2=0,SUM(Materialedata[[#This Row],[A1-A3/m²]:[A4/m²]]),
BM15+IF(BN$2=Input_Tidshorisont,SUM(Materialedata[[#This Row],[C3/m²]:[C4/m²]]),IF(MOD(BN$2,Materialedata[[#This Row],[Levetid]])=0,SUM(Materialedata[[#This Row],[A1-A3/m²]:[C4/m²]]),0))
))</f>
        <v>10.205249867999999</v>
      </c>
      <c r="BO15" s="141">
        <f>IF(BO$2&gt;Input_Tidshorisont,BlankTegn,IF(BO$2=0,SUM(Materialedata[[#This Row],[A1-A3/m²]:[A4/m²]]),
BN15+IF(BO$2=Input_Tidshorisont,SUM(Materialedata[[#This Row],[C3/m²]:[C4/m²]]),IF(MOD(BO$2,Materialedata[[#This Row],[Levetid]])=0,SUM(Materialedata[[#This Row],[A1-A3/m²]:[C4/m²]]),0))
))</f>
        <v>10.205249867999999</v>
      </c>
      <c r="BP15" s="141">
        <f>IF(BP$2&gt;Input_Tidshorisont,BlankTegn,IF(BP$2=0,SUM(Materialedata[[#This Row],[A1-A3/m²]:[A4/m²]]),
BO15+IF(BP$2=Input_Tidshorisont,SUM(Materialedata[[#This Row],[C3/m²]:[C4/m²]]),IF(MOD(BP$2,Materialedata[[#This Row],[Levetid]])=0,SUM(Materialedata[[#This Row],[A1-A3/m²]:[C4/m²]]),0))
))</f>
        <v>10.205249867999999</v>
      </c>
      <c r="BQ15" s="141">
        <f>IF(BQ$2&gt;Input_Tidshorisont,BlankTegn,IF(BQ$2=0,SUM(Materialedata[[#This Row],[A1-A3/m²]:[A4/m²]]),
BP15+IF(BQ$2=Input_Tidshorisont,SUM(Materialedata[[#This Row],[C3/m²]:[C4/m²]]),IF(MOD(BQ$2,Materialedata[[#This Row],[Levetid]])=0,SUM(Materialedata[[#This Row],[A1-A3/m²]:[C4/m²]]),0))
))</f>
        <v>10.205249867999999</v>
      </c>
      <c r="BR15" s="141">
        <f>IF(BR$2&gt;Input_Tidshorisont,BlankTegn,IF(BR$2=0,SUM(Materialedata[[#This Row],[A1-A3/m²]:[A4/m²]]),
BQ15+IF(BR$2=Input_Tidshorisont,SUM(Materialedata[[#This Row],[C3/m²]:[C4/m²]]),IF(MOD(BR$2,Materialedata[[#This Row],[Levetid]])=0,SUM(Materialedata[[#This Row],[A1-A3/m²]:[C4/m²]]),0))
))</f>
        <v>10.205249867999999</v>
      </c>
      <c r="BS15" s="141">
        <f>IF(BS$2&gt;Input_Tidshorisont,BlankTegn,IF(BS$2=0,SUM(Materialedata[[#This Row],[A1-A3/m²]:[A4/m²]]),
BR15+IF(BS$2=Input_Tidshorisont,SUM(Materialedata[[#This Row],[C3/m²]:[C4/m²]]),IF(MOD(BS$2,Materialedata[[#This Row],[Levetid]])=0,SUM(Materialedata[[#This Row],[A1-A3/m²]:[C4/m²]]),0))
))</f>
        <v>10.205249867999999</v>
      </c>
      <c r="BT15" s="141">
        <f>IF(BT$2&gt;Input_Tidshorisont,BlankTegn,IF(BT$2=0,SUM(Materialedata[[#This Row],[A1-A3/m²]:[A4/m²]]),
BS15+IF(BT$2=Input_Tidshorisont,SUM(Materialedata[[#This Row],[C3/m²]:[C4/m²]]),IF(MOD(BT$2,Materialedata[[#This Row],[Levetid]])=0,SUM(Materialedata[[#This Row],[A1-A3/m²]:[C4/m²]]),0))
))</f>
        <v>10.205249867999999</v>
      </c>
      <c r="BU15" s="141">
        <f>IF(BU$2&gt;Input_Tidshorisont,BlankTegn,IF(BU$2=0,SUM(Materialedata[[#This Row],[A1-A3/m²]:[A4/m²]]),
BT15+IF(BU$2=Input_Tidshorisont,SUM(Materialedata[[#This Row],[C3/m²]:[C4/m²]]),IF(MOD(BU$2,Materialedata[[#This Row],[Levetid]])=0,SUM(Materialedata[[#This Row],[A1-A3/m²]:[C4/m²]]),0))
))</f>
        <v>10.205249867999999</v>
      </c>
      <c r="BV15" s="141">
        <f>IF(BV$2&gt;Input_Tidshorisont,BlankTegn,IF(BV$2=0,SUM(Materialedata[[#This Row],[A1-A3/m²]:[A4/m²]]),
BU15+IF(BV$2=Input_Tidshorisont,SUM(Materialedata[[#This Row],[C3/m²]:[C4/m²]]),IF(MOD(BV$2,Materialedata[[#This Row],[Levetid]])=0,SUM(Materialedata[[#This Row],[A1-A3/m²]:[C4/m²]]),0))
))</f>
        <v>10.205249867999999</v>
      </c>
      <c r="BW15" s="141">
        <f>IF(BW$2&gt;Input_Tidshorisont,BlankTegn,IF(BW$2=0,SUM(Materialedata[[#This Row],[A1-A3/m²]:[A4/m²]]),
BV15+IF(BW$2=Input_Tidshorisont,SUM(Materialedata[[#This Row],[C3/m²]:[C4/m²]]),IF(MOD(BW$2,Materialedata[[#This Row],[Levetid]])=0,SUM(Materialedata[[#This Row],[A1-A3/m²]:[C4/m²]]),0))
))</f>
        <v>10.205249867999999</v>
      </c>
      <c r="BX15" s="141">
        <f>IF(BX$2&gt;Input_Tidshorisont,BlankTegn,IF(BX$2=0,SUM(Materialedata[[#This Row],[A1-A3/m²]:[A4/m²]]),
BW15+IF(BX$2=Input_Tidshorisont,SUM(Materialedata[[#This Row],[C3/m²]:[C4/m²]]),IF(MOD(BX$2,Materialedata[[#This Row],[Levetid]])=0,SUM(Materialedata[[#This Row],[A1-A3/m²]:[C4/m²]]),0))
))</f>
        <v>10.205249867999999</v>
      </c>
      <c r="BY15" s="141">
        <f>IF(BY$2&gt;Input_Tidshorisont,BlankTegn,IF(BY$2=0,SUM(Materialedata[[#This Row],[A1-A3/m²]:[A4/m²]]),
BX15+IF(BY$2=Input_Tidshorisont,SUM(Materialedata[[#This Row],[C3/m²]:[C4/m²]]),IF(MOD(BY$2,Materialedata[[#This Row],[Levetid]])=0,SUM(Materialedata[[#This Row],[A1-A3/m²]:[C4/m²]]),0))
))</f>
        <v>10.205249867999999</v>
      </c>
      <c r="BZ15" s="141">
        <f>IF(BZ$2&gt;Input_Tidshorisont,BlankTegn,IF(BZ$2=0,SUM(Materialedata[[#This Row],[A1-A3/m²]:[A4/m²]]),
BY15+IF(BZ$2=Input_Tidshorisont,SUM(Materialedata[[#This Row],[C3/m²]:[C4/m²]]),IF(MOD(BZ$2,Materialedata[[#This Row],[Levetid]])=0,SUM(Materialedata[[#This Row],[A1-A3/m²]:[C4/m²]]),0))
))</f>
        <v>10.205249867999999</v>
      </c>
      <c r="CA15" s="141">
        <f>IF(CA$2&gt;Input_Tidshorisont,BlankTegn,IF(CA$2=0,SUM(Materialedata[[#This Row],[A1-A3/m²]:[A4/m²]]),
BZ15+IF(CA$2=Input_Tidshorisont,SUM(Materialedata[[#This Row],[C3/m²]:[C4/m²]]),IF(MOD(CA$2,Materialedata[[#This Row],[Levetid]])=0,SUM(Materialedata[[#This Row],[A1-A3/m²]:[C4/m²]]),0))
))</f>
        <v>10.205249867999999</v>
      </c>
      <c r="CB15" s="141">
        <f>IF(CB$2&gt;Input_Tidshorisont,BlankTegn,IF(CB$2=0,SUM(Materialedata[[#This Row],[A1-A3/m²]:[A4/m²]]),
CA15+IF(CB$2=Input_Tidshorisont,SUM(Materialedata[[#This Row],[C3/m²]:[C4/m²]]),IF(MOD(CB$2,Materialedata[[#This Row],[Levetid]])=0,SUM(Materialedata[[#This Row],[A1-A3/m²]:[C4/m²]]),0))
))</f>
        <v>10.205249867999999</v>
      </c>
      <c r="CC15" s="141">
        <f>IF(CC$2&gt;Input_Tidshorisont,BlankTegn,IF(CC$2=0,SUM(Materialedata[[#This Row],[A1-A3/m²]:[A4/m²]]),
CB15+IF(CC$2=Input_Tidshorisont,SUM(Materialedata[[#This Row],[C3/m²]:[C4/m²]]),IF(MOD(CC$2,Materialedata[[#This Row],[Levetid]])=0,SUM(Materialedata[[#This Row],[A1-A3/m²]:[C4/m²]]),0))
))</f>
        <v>10.205249867999999</v>
      </c>
      <c r="CD15" s="141">
        <f>IF(CD$2&gt;Input_Tidshorisont,BlankTegn,IF(CD$2=0,SUM(Materialedata[[#This Row],[A1-A3/m²]:[A4/m²]]),
CC15+IF(CD$2=Input_Tidshorisont,SUM(Materialedata[[#This Row],[C3/m²]:[C4/m²]]),IF(MOD(CD$2,Materialedata[[#This Row],[Levetid]])=0,SUM(Materialedata[[#This Row],[A1-A3/m²]:[C4/m²]]),0))
))</f>
        <v>10.205249867999999</v>
      </c>
      <c r="CE15" s="141">
        <f>IF(CE$2&gt;Input_Tidshorisont,BlankTegn,IF(CE$2=0,SUM(Materialedata[[#This Row],[A1-A3/m²]:[A4/m²]]),
CD15+IF(CE$2=Input_Tidshorisont,SUM(Materialedata[[#This Row],[C3/m²]:[C4/m²]]),IF(MOD(CE$2,Materialedata[[#This Row],[Levetid]])=0,SUM(Materialedata[[#This Row],[A1-A3/m²]:[C4/m²]]),0))
))</f>
        <v>10.205249867999999</v>
      </c>
      <c r="CF15" s="141">
        <f>IF(CF$2&gt;Input_Tidshorisont,BlankTegn,IF(CF$2=0,SUM(Materialedata[[#This Row],[A1-A3/m²]:[A4/m²]]),
CE15+IF(CF$2=Input_Tidshorisont,SUM(Materialedata[[#This Row],[C3/m²]:[C4/m²]]),IF(MOD(CF$2,Materialedata[[#This Row],[Levetid]])=0,SUM(Materialedata[[#This Row],[A1-A3/m²]:[C4/m²]]),0))
))</f>
        <v>10.205249867999999</v>
      </c>
      <c r="CG15" s="141">
        <f>IF(CG$2&gt;Input_Tidshorisont,BlankTegn,IF(CG$2=0,SUM(Materialedata[[#This Row],[A1-A3/m²]:[A4/m²]]),
CF15+IF(CG$2=Input_Tidshorisont,SUM(Materialedata[[#This Row],[C3/m²]:[C4/m²]]),IF(MOD(CG$2,Materialedata[[#This Row],[Levetid]])=0,SUM(Materialedata[[#This Row],[A1-A3/m²]:[C4/m²]]),0))
))</f>
        <v>10.205249867999999</v>
      </c>
      <c r="CH15" s="141">
        <f>IF(CH$2&gt;Input_Tidshorisont,BlankTegn,IF(CH$2=0,SUM(Materialedata[[#This Row],[A1-A3/m²]:[A4/m²]]),
CG15+IF(CH$2=Input_Tidshorisont,SUM(Materialedata[[#This Row],[C3/m²]:[C4/m²]]),IF(MOD(CH$2,Materialedata[[#This Row],[Levetid]])=0,SUM(Materialedata[[#This Row],[A1-A3/m²]:[C4/m²]]),0))
))</f>
        <v>10.633403286</v>
      </c>
      <c r="CI15" s="141" t="str">
        <f>IF(CI$2&gt;Input_Tidshorisont,BlankTegn,IF(CI$2=0,SUM(Materialedata[[#This Row],[A1-A3/m²]:[A4/m²]]),
CH15+IF(CI$2=Input_Tidshorisont,SUM(Materialedata[[#This Row],[C3/m²]:[C4/m²]]),IF(MOD(CI$2,Materialedata[[#This Row],[Levetid]])=0,SUM(Materialedata[[#This Row],[A1-A3/m²]:[C4/m²]]),0))
))</f>
        <v>.</v>
      </c>
      <c r="CJ15" s="141" t="str">
        <f>IF(CJ$2&gt;Input_Tidshorisont,BlankTegn,IF(CJ$2=0,SUM(Materialedata[[#This Row],[A1-A3/m²]:[A4/m²]]),
CI15+IF(CJ$2=Input_Tidshorisont,SUM(Materialedata[[#This Row],[C3/m²]:[C4/m²]]),IF(MOD(CJ$2,Materialedata[[#This Row],[Levetid]])=0,SUM(Materialedata[[#This Row],[A1-A3/m²]:[C4/m²]]),0))
))</f>
        <v>.</v>
      </c>
      <c r="CK15" s="141" t="str">
        <f>IF(CK$2&gt;Input_Tidshorisont,BlankTegn,IF(CK$2=0,SUM(Materialedata[[#This Row],[A1-A3/m²]:[A4/m²]]),
CJ15+IF(CK$2=Input_Tidshorisont,SUM(Materialedata[[#This Row],[C3/m²]:[C4/m²]]),IF(MOD(CK$2,Materialedata[[#This Row],[Levetid]])=0,SUM(Materialedata[[#This Row],[A1-A3/m²]:[C4/m²]]),0))
))</f>
        <v>.</v>
      </c>
      <c r="CL15" s="141" t="str">
        <f>IF(CL$2&gt;Input_Tidshorisont,BlankTegn,IF(CL$2=0,SUM(Materialedata[[#This Row],[A1-A3/m²]:[A4/m²]]),
CK15+IF(CL$2=Input_Tidshorisont,SUM(Materialedata[[#This Row],[C3/m²]:[C4/m²]]),IF(MOD(CL$2,Materialedata[[#This Row],[Levetid]])=0,SUM(Materialedata[[#This Row],[A1-A3/m²]:[C4/m²]]),0))
))</f>
        <v>.</v>
      </c>
      <c r="CM15" s="141" t="str">
        <f>IF(CM$2&gt;Input_Tidshorisont,BlankTegn,IF(CM$2=0,SUM(Materialedata[[#This Row],[A1-A3/m²]:[A4/m²]]),
CL15+IF(CM$2=Input_Tidshorisont,SUM(Materialedata[[#This Row],[C3/m²]:[C4/m²]]),IF(MOD(CM$2,Materialedata[[#This Row],[Levetid]])=0,SUM(Materialedata[[#This Row],[A1-A3/m²]:[C4/m²]]),0))
))</f>
        <v>.</v>
      </c>
      <c r="CN15" s="141" t="str">
        <f>IF(CN$2&gt;Input_Tidshorisont,BlankTegn,IF(CN$2=0,SUM(Materialedata[[#This Row],[A1-A3/m²]:[A4/m²]]),
CM15+IF(CN$2=Input_Tidshorisont,SUM(Materialedata[[#This Row],[C3/m²]:[C4/m²]]),IF(MOD(CN$2,Materialedata[[#This Row],[Levetid]])=0,SUM(Materialedata[[#This Row],[A1-A3/m²]:[C4/m²]]),0))
))</f>
        <v>.</v>
      </c>
      <c r="CO15" s="141" t="str">
        <f>IF(CO$2&gt;Input_Tidshorisont,BlankTegn,IF(CO$2=0,SUM(Materialedata[[#This Row],[A1-A3/m²]:[A4/m²]]),
CN15+IF(CO$2=Input_Tidshorisont,SUM(Materialedata[[#This Row],[C3/m²]:[C4/m²]]),IF(MOD(CO$2,Materialedata[[#This Row],[Levetid]])=0,SUM(Materialedata[[#This Row],[A1-A3/m²]:[C4/m²]]),0))
))</f>
        <v>.</v>
      </c>
      <c r="CP15" s="141" t="str">
        <f>IF(CP$2&gt;Input_Tidshorisont,BlankTegn,IF(CP$2=0,SUM(Materialedata[[#This Row],[A1-A3/m²]:[A4/m²]]),
CO15+IF(CP$2=Input_Tidshorisont,SUM(Materialedata[[#This Row],[C3/m²]:[C4/m²]]),IF(MOD(CP$2,Materialedata[[#This Row],[Levetid]])=0,SUM(Materialedata[[#This Row],[A1-A3/m²]:[C4/m²]]),0))
))</f>
        <v>.</v>
      </c>
      <c r="CQ15" s="141" t="str">
        <f>IF(CQ$2&gt;Input_Tidshorisont,BlankTegn,IF(CQ$2=0,SUM(Materialedata[[#This Row],[A1-A3/m²]:[A4/m²]]),
CP15+IF(CQ$2=Input_Tidshorisont,SUM(Materialedata[[#This Row],[C3/m²]:[C4/m²]]),IF(MOD(CQ$2,Materialedata[[#This Row],[Levetid]])=0,SUM(Materialedata[[#This Row],[A1-A3/m²]:[C4/m²]]),0))
))</f>
        <v>.</v>
      </c>
      <c r="CR15" s="141" t="str">
        <f>IF(CR$2&gt;Input_Tidshorisont,BlankTegn,IF(CR$2=0,SUM(Materialedata[[#This Row],[A1-A3/m²]:[A4/m²]]),
CQ15+IF(CR$2=Input_Tidshorisont,SUM(Materialedata[[#This Row],[C3/m²]:[C4/m²]]),IF(MOD(CR$2,Materialedata[[#This Row],[Levetid]])=0,SUM(Materialedata[[#This Row],[A1-A3/m²]:[C4/m²]]),0))
))</f>
        <v>.</v>
      </c>
      <c r="CS15" s="141" t="str">
        <f>IF(CS$2&gt;Input_Tidshorisont,BlankTegn,IF(CS$2=0,SUM(Materialedata[[#This Row],[A1-A3/m²]:[A4/m²]]),
CR15+IF(CS$2=Input_Tidshorisont,SUM(Materialedata[[#This Row],[C3/m²]:[C4/m²]]),IF(MOD(CS$2,Materialedata[[#This Row],[Levetid]])=0,SUM(Materialedata[[#This Row],[A1-A3/m²]:[C4/m²]]),0))
))</f>
        <v>.</v>
      </c>
      <c r="CT15" s="141" t="str">
        <f>IF(CT$2&gt;Input_Tidshorisont,BlankTegn,IF(CT$2=0,SUM(Materialedata[[#This Row],[A1-A3/m²]:[A4/m²]]),
CS15+IF(CT$2=Input_Tidshorisont,SUM(Materialedata[[#This Row],[C3/m²]:[C4/m²]]),IF(MOD(CT$2,Materialedata[[#This Row],[Levetid]])=0,SUM(Materialedata[[#This Row],[A1-A3/m²]:[C4/m²]]),0))
))</f>
        <v>.</v>
      </c>
      <c r="CU15" s="141" t="str">
        <f>IF(CU$2&gt;Input_Tidshorisont,BlankTegn,IF(CU$2=0,SUM(Materialedata[[#This Row],[A1-A3/m²]:[A4/m²]]),
CT15+IF(CU$2=Input_Tidshorisont,SUM(Materialedata[[#This Row],[C3/m²]:[C4/m²]]),IF(MOD(CU$2,Materialedata[[#This Row],[Levetid]])=0,SUM(Materialedata[[#This Row],[A1-A3/m²]:[C4/m²]]),0))
))</f>
        <v>.</v>
      </c>
      <c r="CV15" s="141" t="str">
        <f>IF(CV$2&gt;Input_Tidshorisont,BlankTegn,IF(CV$2=0,SUM(Materialedata[[#This Row],[A1-A3/m²]:[A4/m²]]),
CU15+IF(CV$2=Input_Tidshorisont,SUM(Materialedata[[#This Row],[C3/m²]:[C4/m²]]),IF(MOD(CV$2,Materialedata[[#This Row],[Levetid]])=0,SUM(Materialedata[[#This Row],[A1-A3/m²]:[C4/m²]]),0))
))</f>
        <v>.</v>
      </c>
      <c r="CW15" s="141" t="str">
        <f>IF(CW$2&gt;Input_Tidshorisont,BlankTegn,IF(CW$2=0,SUM(Materialedata[[#This Row],[A1-A3/m²]:[A4/m²]]),
CV15+IF(CW$2=Input_Tidshorisont,SUM(Materialedata[[#This Row],[C3/m²]:[C4/m²]]),IF(MOD(CW$2,Materialedata[[#This Row],[Levetid]])=0,SUM(Materialedata[[#This Row],[A1-A3/m²]:[C4/m²]]),0))
))</f>
        <v>.</v>
      </c>
      <c r="CX15" s="141" t="str">
        <f>IF(CX$2&gt;Input_Tidshorisont,BlankTegn,IF(CX$2=0,SUM(Materialedata[[#This Row],[A1-A3/m²]:[A4/m²]]),
CW15+IF(CX$2=Input_Tidshorisont,SUM(Materialedata[[#This Row],[C3/m²]:[C4/m²]]),IF(MOD(CX$2,Materialedata[[#This Row],[Levetid]])=0,SUM(Materialedata[[#This Row],[A1-A3/m²]:[C4/m²]]),0))
))</f>
        <v>.</v>
      </c>
      <c r="CY15" s="141" t="str">
        <f>IF(CY$2&gt;Input_Tidshorisont,BlankTegn,IF(CY$2=0,SUM(Materialedata[[#This Row],[A1-A3/m²]:[A4/m²]]),
CX15+IF(CY$2=Input_Tidshorisont,SUM(Materialedata[[#This Row],[C3/m²]:[C4/m²]]),IF(MOD(CY$2,Materialedata[[#This Row],[Levetid]])=0,SUM(Materialedata[[#This Row],[A1-A3/m²]:[C4/m²]]),0))
))</f>
        <v>.</v>
      </c>
      <c r="CZ15" s="141" t="str">
        <f>IF(CZ$2&gt;Input_Tidshorisont,BlankTegn,IF(CZ$2=0,SUM(Materialedata[[#This Row],[A1-A3/m²]:[A4/m²]]),
CY15+IF(CZ$2=Input_Tidshorisont,SUM(Materialedata[[#This Row],[C3/m²]:[C4/m²]]),IF(MOD(CZ$2,Materialedata[[#This Row],[Levetid]])=0,SUM(Materialedata[[#This Row],[A1-A3/m²]:[C4/m²]]),0))
))</f>
        <v>.</v>
      </c>
      <c r="DA15" s="141" t="str">
        <f>IF(DA$2&gt;Input_Tidshorisont,BlankTegn,IF(DA$2=0,SUM(Materialedata[[#This Row],[A1-A3/m²]:[A4/m²]]),
CZ15+IF(DA$2=Input_Tidshorisont,SUM(Materialedata[[#This Row],[C3/m²]:[C4/m²]]),IF(MOD(DA$2,Materialedata[[#This Row],[Levetid]])=0,SUM(Materialedata[[#This Row],[A1-A3/m²]:[C4/m²]]),0))
))</f>
        <v>.</v>
      </c>
      <c r="DB15" s="141" t="str">
        <f>IF(DB$2&gt;Input_Tidshorisont,BlankTegn,IF(DB$2=0,SUM(Materialedata[[#This Row],[A1-A3/m²]:[A4/m²]]),
DA15+IF(DB$2=Input_Tidshorisont,SUM(Materialedata[[#This Row],[C3/m²]:[C4/m²]]),IF(MOD(DB$2,Materialedata[[#This Row],[Levetid]])=0,SUM(Materialedata[[#This Row],[A1-A3/m²]:[C4/m²]]),0))
))</f>
        <v>.</v>
      </c>
      <c r="DC15" s="141" t="str">
        <f>IF(DC$2&gt;Input_Tidshorisont,BlankTegn,IF(DC$2=0,SUM(Materialedata[[#This Row],[A1-A3/m²]:[A4/m²]]),
DB15+IF(DC$2=Input_Tidshorisont,SUM(Materialedata[[#This Row],[C3/m²]:[C4/m²]]),IF(MOD(DC$2,Materialedata[[#This Row],[Levetid]])=0,SUM(Materialedata[[#This Row],[A1-A3/m²]:[C4/m²]]),0))
))</f>
        <v>.</v>
      </c>
      <c r="DD15" s="141" t="str">
        <f>IF(DD$2&gt;Input_Tidshorisont,BlankTegn,IF(DD$2=0,SUM(Materialedata[[#This Row],[A1-A3/m²]:[A4/m²]]),
DC15+IF(DD$2=Input_Tidshorisont,SUM(Materialedata[[#This Row],[C3/m²]:[C4/m²]]),IF(MOD(DD$2,Materialedata[[#This Row],[Levetid]])=0,SUM(Materialedata[[#This Row],[A1-A3/m²]:[C4/m²]]),0))
))</f>
        <v>.</v>
      </c>
      <c r="DE15" s="141" t="str">
        <f>IF(DE$2&gt;Input_Tidshorisont,BlankTegn,IF(DE$2=0,SUM(Materialedata[[#This Row],[A1-A3/m²]:[A4/m²]]),
DD15+IF(DE$2=Input_Tidshorisont,SUM(Materialedata[[#This Row],[C3/m²]:[C4/m²]]),IF(MOD(DE$2,Materialedata[[#This Row],[Levetid]])=0,SUM(Materialedata[[#This Row],[A1-A3/m²]:[C4/m²]]),0))
))</f>
        <v>.</v>
      </c>
      <c r="DF15" s="141" t="str">
        <f>IF(DF$2&gt;Input_Tidshorisont,BlankTegn,IF(DF$2=0,SUM(Materialedata[[#This Row],[A1-A3/m²]:[A4/m²]]),
DE15+IF(DF$2=Input_Tidshorisont,SUM(Materialedata[[#This Row],[C3/m²]:[C4/m²]]),IF(MOD(DF$2,Materialedata[[#This Row],[Levetid]])=0,SUM(Materialedata[[#This Row],[A1-A3/m²]:[C4/m²]]),0))
))</f>
        <v>.</v>
      </c>
      <c r="DG15" s="141" t="str">
        <f>IF(DG$2&gt;Input_Tidshorisont,BlankTegn,IF(DG$2=0,SUM(Materialedata[[#This Row],[A1-A3/m²]:[A4/m²]]),
DF15+IF(DG$2=Input_Tidshorisont,SUM(Materialedata[[#This Row],[C3/m²]:[C4/m²]]),IF(MOD(DG$2,Materialedata[[#This Row],[Levetid]])=0,SUM(Materialedata[[#This Row],[A1-A3/m²]:[C4/m²]]),0))
))</f>
        <v>.</v>
      </c>
      <c r="DH15" s="141" t="str">
        <f>IF(DH$2&gt;Input_Tidshorisont,BlankTegn,IF(DH$2=0,SUM(Materialedata[[#This Row],[A1-A3/m²]:[A4/m²]]),
DG15+IF(DH$2=Input_Tidshorisont,SUM(Materialedata[[#This Row],[C3/m²]:[C4/m²]]),IF(MOD(DH$2,Materialedata[[#This Row],[Levetid]])=0,SUM(Materialedata[[#This Row],[A1-A3/m²]:[C4/m²]]),0))
))</f>
        <v>.</v>
      </c>
      <c r="DI15" s="141" t="str">
        <f>IF(DI$2&gt;Input_Tidshorisont,BlankTegn,IF(DI$2=0,SUM(Materialedata[[#This Row],[A1-A3/m²]:[A4/m²]]),
DH15+IF(DI$2=Input_Tidshorisont,SUM(Materialedata[[#This Row],[C3/m²]:[C4/m²]]),IF(MOD(DI$2,Materialedata[[#This Row],[Levetid]])=0,SUM(Materialedata[[#This Row],[A1-A3/m²]:[C4/m²]]),0))
))</f>
        <v>.</v>
      </c>
      <c r="DJ15" s="141" t="str">
        <f>IF(DJ$2&gt;Input_Tidshorisont,BlankTegn,IF(DJ$2=0,SUM(Materialedata[[#This Row],[A1-A3/m²]:[A4/m²]]),
DI15+IF(DJ$2=Input_Tidshorisont,SUM(Materialedata[[#This Row],[C3/m²]:[C4/m²]]),IF(MOD(DJ$2,Materialedata[[#This Row],[Levetid]])=0,SUM(Materialedata[[#This Row],[A1-A3/m²]:[C4/m²]]),0))
))</f>
        <v>.</v>
      </c>
      <c r="DK15" s="141" t="str">
        <f>IF(DK$2&gt;Input_Tidshorisont,BlankTegn,IF(DK$2=0,SUM(Materialedata[[#This Row],[A1-A3/m²]:[A4/m²]]),
DJ15+IF(DK$2=Input_Tidshorisont,SUM(Materialedata[[#This Row],[C3/m²]:[C4/m²]]),IF(MOD(DK$2,Materialedata[[#This Row],[Levetid]])=0,SUM(Materialedata[[#This Row],[A1-A3/m²]:[C4/m²]]),0))
))</f>
        <v>.</v>
      </c>
      <c r="DL15" s="141" t="str">
        <f>IF(DL$2&gt;Input_Tidshorisont,BlankTegn,IF(DL$2=0,SUM(Materialedata[[#This Row],[A1-A3/m²]:[A4/m²]]),
DK15+IF(DL$2=Input_Tidshorisont,SUM(Materialedata[[#This Row],[C3/m²]:[C4/m²]]),IF(MOD(DL$2,Materialedata[[#This Row],[Levetid]])=0,SUM(Materialedata[[#This Row],[A1-A3/m²]:[C4/m²]]),0))
))</f>
        <v>.</v>
      </c>
      <c r="DM15" s="19"/>
    </row>
    <row r="16" spans="1:117">
      <c r="A16" s="182" t="s">
        <v>42</v>
      </c>
      <c r="B16" s="182" t="s">
        <v>149</v>
      </c>
      <c r="C16" s="148" t="s">
        <v>131</v>
      </c>
      <c r="D16" s="180" t="s">
        <v>276</v>
      </c>
      <c r="E16" s="180" t="s">
        <v>276</v>
      </c>
      <c r="F16" s="182" t="s">
        <v>134</v>
      </c>
      <c r="G16" s="182">
        <v>120</v>
      </c>
      <c r="H16" s="183">
        <v>7850</v>
      </c>
      <c r="I16" s="193">
        <f>(((6.6*0.333)*2)/1.2)*1.15</f>
        <v>4.2124499999999996</v>
      </c>
      <c r="J16" s="184" t="s">
        <v>101</v>
      </c>
      <c r="K16" s="188">
        <f t="shared" si="0"/>
        <v>2.19</v>
      </c>
      <c r="L16" s="182" t="s">
        <v>209</v>
      </c>
      <c r="M16" s="185">
        <f>IF(ISBLANK(Materialedata[[#This Row],[A4-gruppe]]),BlankTegn,INDEX(Byggeproces[GWP],MATCH(Materialedata[[#This Row],[A4-gruppe]],Byggeproces[Gruppe/Undergruppe],0)))</f>
        <v>1.24E-2</v>
      </c>
      <c r="N16" s="182">
        <f t="shared" si="1"/>
        <v>4.65E-2</v>
      </c>
      <c r="O16" s="182">
        <f t="shared" si="2"/>
        <v>4.5899999999999996E-2</v>
      </c>
      <c r="P16" s="182">
        <f t="shared" si="3"/>
        <v>-1.0500000000000002E-3</v>
      </c>
      <c r="Q16" s="279">
        <f>Materialedata[[#This Row],[A1-A3/standardenhed]]*Materialedata[[#This Row],[Mængde/m²]]</f>
        <v>9.225265499999999</v>
      </c>
      <c r="R16" s="276" cm="1">
        <f t="array" ref="R16">IFERROR(_xlfn.IFS(Materialedata[[#This Row],[Mængde-enhed]]="kg/m²",Materialedata[[#This Row],[A4/kg]]*Materialedata[[#This Row],[Mængde/m²]],Materialedata[[#This Row],[Mængde-enhed]]="m³/m²",Materialedata[[#This Row],[A4/kg]]*Materialedata[[#This Row],[Mængde/m²]]*Materialedata[[#This Row],[Densitet]]),"N/A")</f>
        <v>5.223437999999999E-2</v>
      </c>
      <c r="S16" s="188">
        <f>Materialedata[[#This Row],[C3/enhed]]*Materialedata[[#This Row],[Mængde/m²]]</f>
        <v>0.19587892499999998</v>
      </c>
      <c r="T16" s="188">
        <f>Materialedata[[#This Row],[C4/enhed]]*Materialedata[[#This Row],[Mængde/m²]]</f>
        <v>0.19335145499999998</v>
      </c>
      <c r="U16" s="188">
        <f>Materialedata[[#This Row],[D/enhed]]*Materialedata[[#This Row],[Mængde/m²]]</f>
        <v>-4.4230724999999999E-3</v>
      </c>
      <c r="V16" s="150">
        <f>IFERROR(INDEX(Range_Materiale_Genbrug,MATCH(Materialedata[[#This Row],[Komponent]],Facadekomponenter,0)),BlankTegn)</f>
        <v>0</v>
      </c>
      <c r="W16" s="150">
        <f>IFERROR(1-Materialedata[[#This Row],[Genbrug]],BlankTegn)</f>
        <v>1</v>
      </c>
      <c r="X16" s="186">
        <f>IFERROR(Materialedata[[#This Row],[A1-A3/m²_nyt]]*Materialedata[[#This Row],[Nyt]],BlankTegn)</f>
        <v>9.225265499999999</v>
      </c>
      <c r="Y16" s="186">
        <f>Materialedata[[#This Row],[A4/m²_nyt]]</f>
        <v>5.223437999999999E-2</v>
      </c>
      <c r="Z16" s="186">
        <f>IFERROR(Materialedata[[#This Row],[C3/m²_nyt]]*Materialedata[[#This Row],[Nyt]],BlankTegn)</f>
        <v>0.19587892499999998</v>
      </c>
      <c r="AA16" s="186">
        <f>IFERROR(Materialedata[[#This Row],[C4/m²_nyt]]*Materialedata[[#This Row],[Nyt]],BlankTegn)</f>
        <v>0.19335145499999998</v>
      </c>
      <c r="AB16" s="186">
        <f>IFERROR(Materialedata[[#This Row],[D/m²_nyt]]*Materialedata[[#This Row],[Nyt]],BlankTegn)</f>
        <v>-4.4230724999999999E-3</v>
      </c>
      <c r="AC16" s="187">
        <f>AC15</f>
        <v>39.532456949949207</v>
      </c>
      <c r="AD16" s="188" t="s">
        <v>134</v>
      </c>
      <c r="AE16" s="277">
        <f>1*Materialedata[[#This Row],[Mængde/m²]]</f>
        <v>4.2124499999999996</v>
      </c>
      <c r="AF16" s="189">
        <f>Materialedata[[#This Row],[Pris/enhed]]*Materialedata[[#This Row],[Omregning]]</f>
        <v>166.52849827881352</v>
      </c>
      <c r="AG16" s="190">
        <v>0.03</v>
      </c>
      <c r="AH16" s="191">
        <v>1</v>
      </c>
      <c r="AI16" s="162">
        <v>0</v>
      </c>
      <c r="AJ16" s="141">
        <f>IF(AJ$2&gt;Input_Tidshorisont,BlankTegn,IF(AJ$2=0,SUM(Materialedata[[#This Row],[A1-A3/m²]:[A4/m²]]),
AI16+IF(AJ$2=Input_Tidshorisont,SUM(Materialedata[[#This Row],[C3/m²]:[C4/m²]]),IF(MOD(AJ$2,Materialedata[[#This Row],[Levetid]])=0,SUM(Materialedata[[#This Row],[A1-A3/m²]:[C4/m²]]),0))
))</f>
        <v>9.2774998799999988</v>
      </c>
      <c r="AK16" s="141">
        <f>IF(AK$2&gt;Input_Tidshorisont,BlankTegn,IF(AK$2=0,SUM(Materialedata[[#This Row],[A1-A3/m²]:[A4/m²]]),
AJ16+IF(AK$2=Input_Tidshorisont,SUM(Materialedata[[#This Row],[C3/m²]:[C4/m²]]),IF(MOD(AK$2,Materialedata[[#This Row],[Levetid]])=0,SUM(Materialedata[[#This Row],[A1-A3/m²]:[C4/m²]]),0))
))</f>
        <v>9.2774998799999988</v>
      </c>
      <c r="AL16" s="141">
        <f>IF(AL$2&gt;Input_Tidshorisont,BlankTegn,IF(AL$2=0,SUM(Materialedata[[#This Row],[A1-A3/m²]:[A4/m²]]),
AK16+IF(AL$2=Input_Tidshorisont,SUM(Materialedata[[#This Row],[C3/m²]:[C4/m²]]),IF(MOD(AL$2,Materialedata[[#This Row],[Levetid]])=0,SUM(Materialedata[[#This Row],[A1-A3/m²]:[C4/m²]]),0))
))</f>
        <v>9.2774998799999988</v>
      </c>
      <c r="AM16" s="141">
        <f>IF(AM$2&gt;Input_Tidshorisont,BlankTegn,IF(AM$2=0,SUM(Materialedata[[#This Row],[A1-A3/m²]:[A4/m²]]),
AL16+IF(AM$2=Input_Tidshorisont,SUM(Materialedata[[#This Row],[C3/m²]:[C4/m²]]),IF(MOD(AM$2,Materialedata[[#This Row],[Levetid]])=0,SUM(Materialedata[[#This Row],[A1-A3/m²]:[C4/m²]]),0))
))</f>
        <v>9.2774998799999988</v>
      </c>
      <c r="AN16" s="141">
        <f>IF(AN$2&gt;Input_Tidshorisont,BlankTegn,IF(AN$2=0,SUM(Materialedata[[#This Row],[A1-A3/m²]:[A4/m²]]),
AM16+IF(AN$2=Input_Tidshorisont,SUM(Materialedata[[#This Row],[C3/m²]:[C4/m²]]),IF(MOD(AN$2,Materialedata[[#This Row],[Levetid]])=0,SUM(Materialedata[[#This Row],[A1-A3/m²]:[C4/m²]]),0))
))</f>
        <v>9.2774998799999988</v>
      </c>
      <c r="AO16" s="141">
        <f>IF(AO$2&gt;Input_Tidshorisont,BlankTegn,IF(AO$2=0,SUM(Materialedata[[#This Row],[A1-A3/m²]:[A4/m²]]),
AN16+IF(AO$2=Input_Tidshorisont,SUM(Materialedata[[#This Row],[C3/m²]:[C4/m²]]),IF(MOD(AO$2,Materialedata[[#This Row],[Levetid]])=0,SUM(Materialedata[[#This Row],[A1-A3/m²]:[C4/m²]]),0))
))</f>
        <v>9.2774998799999988</v>
      </c>
      <c r="AP16" s="141">
        <f>IF(AP$2&gt;Input_Tidshorisont,BlankTegn,IF(AP$2=0,SUM(Materialedata[[#This Row],[A1-A3/m²]:[A4/m²]]),
AO16+IF(AP$2=Input_Tidshorisont,SUM(Materialedata[[#This Row],[C3/m²]:[C4/m²]]),IF(MOD(AP$2,Materialedata[[#This Row],[Levetid]])=0,SUM(Materialedata[[#This Row],[A1-A3/m²]:[C4/m²]]),0))
))</f>
        <v>9.2774998799999988</v>
      </c>
      <c r="AQ16" s="141">
        <f>IF(AQ$2&gt;Input_Tidshorisont,BlankTegn,IF(AQ$2=0,SUM(Materialedata[[#This Row],[A1-A3/m²]:[A4/m²]]),
AP16+IF(AQ$2=Input_Tidshorisont,SUM(Materialedata[[#This Row],[C3/m²]:[C4/m²]]),IF(MOD(AQ$2,Materialedata[[#This Row],[Levetid]])=0,SUM(Materialedata[[#This Row],[A1-A3/m²]:[C4/m²]]),0))
))</f>
        <v>9.2774998799999988</v>
      </c>
      <c r="AR16" s="141">
        <f>IF(AR$2&gt;Input_Tidshorisont,BlankTegn,IF(AR$2=0,SUM(Materialedata[[#This Row],[A1-A3/m²]:[A4/m²]]),
AQ16+IF(AR$2=Input_Tidshorisont,SUM(Materialedata[[#This Row],[C3/m²]:[C4/m²]]),IF(MOD(AR$2,Materialedata[[#This Row],[Levetid]])=0,SUM(Materialedata[[#This Row],[A1-A3/m²]:[C4/m²]]),0))
))</f>
        <v>9.2774998799999988</v>
      </c>
      <c r="AS16" s="141">
        <f>IF(AS$2&gt;Input_Tidshorisont,BlankTegn,IF(AS$2=0,SUM(Materialedata[[#This Row],[A1-A3/m²]:[A4/m²]]),
AR16+IF(AS$2=Input_Tidshorisont,SUM(Materialedata[[#This Row],[C3/m²]:[C4/m²]]),IF(MOD(AS$2,Materialedata[[#This Row],[Levetid]])=0,SUM(Materialedata[[#This Row],[A1-A3/m²]:[C4/m²]]),0))
))</f>
        <v>9.2774998799999988</v>
      </c>
      <c r="AT16" s="141">
        <f>IF(AT$2&gt;Input_Tidshorisont,BlankTegn,IF(AT$2=0,SUM(Materialedata[[#This Row],[A1-A3/m²]:[A4/m²]]),
AS16+IF(AT$2=Input_Tidshorisont,SUM(Materialedata[[#This Row],[C3/m²]:[C4/m²]]),IF(MOD(AT$2,Materialedata[[#This Row],[Levetid]])=0,SUM(Materialedata[[#This Row],[A1-A3/m²]:[C4/m²]]),0))
))</f>
        <v>9.2774998799999988</v>
      </c>
      <c r="AU16" s="141">
        <f>IF(AU$2&gt;Input_Tidshorisont,BlankTegn,IF(AU$2=0,SUM(Materialedata[[#This Row],[A1-A3/m²]:[A4/m²]]),
AT16+IF(AU$2=Input_Tidshorisont,SUM(Materialedata[[#This Row],[C3/m²]:[C4/m²]]),IF(MOD(AU$2,Materialedata[[#This Row],[Levetid]])=0,SUM(Materialedata[[#This Row],[A1-A3/m²]:[C4/m²]]),0))
))</f>
        <v>9.2774998799999988</v>
      </c>
      <c r="AV16" s="141">
        <f>IF(AV$2&gt;Input_Tidshorisont,BlankTegn,IF(AV$2=0,SUM(Materialedata[[#This Row],[A1-A3/m²]:[A4/m²]]),
AU16+IF(AV$2=Input_Tidshorisont,SUM(Materialedata[[#This Row],[C3/m²]:[C4/m²]]),IF(MOD(AV$2,Materialedata[[#This Row],[Levetid]])=0,SUM(Materialedata[[#This Row],[A1-A3/m²]:[C4/m²]]),0))
))</f>
        <v>9.2774998799999988</v>
      </c>
      <c r="AW16" s="141">
        <f>IF(AW$2&gt;Input_Tidshorisont,BlankTegn,IF(AW$2=0,SUM(Materialedata[[#This Row],[A1-A3/m²]:[A4/m²]]),
AV16+IF(AW$2=Input_Tidshorisont,SUM(Materialedata[[#This Row],[C3/m²]:[C4/m²]]),IF(MOD(AW$2,Materialedata[[#This Row],[Levetid]])=0,SUM(Materialedata[[#This Row],[A1-A3/m²]:[C4/m²]]),0))
))</f>
        <v>9.2774998799999988</v>
      </c>
      <c r="AX16" s="141">
        <f>IF(AX$2&gt;Input_Tidshorisont,BlankTegn,IF(AX$2=0,SUM(Materialedata[[#This Row],[A1-A3/m²]:[A4/m²]]),
AW16+IF(AX$2=Input_Tidshorisont,SUM(Materialedata[[#This Row],[C3/m²]:[C4/m²]]),IF(MOD(AX$2,Materialedata[[#This Row],[Levetid]])=0,SUM(Materialedata[[#This Row],[A1-A3/m²]:[C4/m²]]),0))
))</f>
        <v>9.2774998799999988</v>
      </c>
      <c r="AY16" s="141">
        <f>IF(AY$2&gt;Input_Tidshorisont,BlankTegn,IF(AY$2=0,SUM(Materialedata[[#This Row],[A1-A3/m²]:[A4/m²]]),
AX16+IF(AY$2=Input_Tidshorisont,SUM(Materialedata[[#This Row],[C3/m²]:[C4/m²]]),IF(MOD(AY$2,Materialedata[[#This Row],[Levetid]])=0,SUM(Materialedata[[#This Row],[A1-A3/m²]:[C4/m²]]),0))
))</f>
        <v>9.2774998799999988</v>
      </c>
      <c r="AZ16" s="141">
        <f>IF(AZ$2&gt;Input_Tidshorisont,BlankTegn,IF(AZ$2=0,SUM(Materialedata[[#This Row],[A1-A3/m²]:[A4/m²]]),
AY16+IF(AZ$2=Input_Tidshorisont,SUM(Materialedata[[#This Row],[C3/m²]:[C4/m²]]),IF(MOD(AZ$2,Materialedata[[#This Row],[Levetid]])=0,SUM(Materialedata[[#This Row],[A1-A3/m²]:[C4/m²]]),0))
))</f>
        <v>9.2774998799999988</v>
      </c>
      <c r="BA16" s="141">
        <f>IF(BA$2&gt;Input_Tidshorisont,BlankTegn,IF(BA$2=0,SUM(Materialedata[[#This Row],[A1-A3/m²]:[A4/m²]]),
AZ16+IF(BA$2=Input_Tidshorisont,SUM(Materialedata[[#This Row],[C3/m²]:[C4/m²]]),IF(MOD(BA$2,Materialedata[[#This Row],[Levetid]])=0,SUM(Materialedata[[#This Row],[A1-A3/m²]:[C4/m²]]),0))
))</f>
        <v>9.2774998799999988</v>
      </c>
      <c r="BB16" s="141">
        <f>IF(BB$2&gt;Input_Tidshorisont,BlankTegn,IF(BB$2=0,SUM(Materialedata[[#This Row],[A1-A3/m²]:[A4/m²]]),
BA16+IF(BB$2=Input_Tidshorisont,SUM(Materialedata[[#This Row],[C3/m²]:[C4/m²]]),IF(MOD(BB$2,Materialedata[[#This Row],[Levetid]])=0,SUM(Materialedata[[#This Row],[A1-A3/m²]:[C4/m²]]),0))
))</f>
        <v>9.2774998799999988</v>
      </c>
      <c r="BC16" s="141">
        <f>IF(BC$2&gt;Input_Tidshorisont,BlankTegn,IF(BC$2=0,SUM(Materialedata[[#This Row],[A1-A3/m²]:[A4/m²]]),
BB16+IF(BC$2=Input_Tidshorisont,SUM(Materialedata[[#This Row],[C3/m²]:[C4/m²]]),IF(MOD(BC$2,Materialedata[[#This Row],[Levetid]])=0,SUM(Materialedata[[#This Row],[A1-A3/m²]:[C4/m²]]),0))
))</f>
        <v>9.2774998799999988</v>
      </c>
      <c r="BD16" s="141">
        <f>IF(BD$2&gt;Input_Tidshorisont,BlankTegn,IF(BD$2=0,SUM(Materialedata[[#This Row],[A1-A3/m²]:[A4/m²]]),
BC16+IF(BD$2=Input_Tidshorisont,SUM(Materialedata[[#This Row],[C3/m²]:[C4/m²]]),IF(MOD(BD$2,Materialedata[[#This Row],[Levetid]])=0,SUM(Materialedata[[#This Row],[A1-A3/m²]:[C4/m²]]),0))
))</f>
        <v>9.2774998799999988</v>
      </c>
      <c r="BE16" s="141">
        <f>IF(BE$2&gt;Input_Tidshorisont,BlankTegn,IF(BE$2=0,SUM(Materialedata[[#This Row],[A1-A3/m²]:[A4/m²]]),
BD16+IF(BE$2=Input_Tidshorisont,SUM(Materialedata[[#This Row],[C3/m²]:[C4/m²]]),IF(MOD(BE$2,Materialedata[[#This Row],[Levetid]])=0,SUM(Materialedata[[#This Row],[A1-A3/m²]:[C4/m²]]),0))
))</f>
        <v>9.2774998799999988</v>
      </c>
      <c r="BF16" s="141">
        <f>IF(BF$2&gt;Input_Tidshorisont,BlankTegn,IF(BF$2=0,SUM(Materialedata[[#This Row],[A1-A3/m²]:[A4/m²]]),
BE16+IF(BF$2=Input_Tidshorisont,SUM(Materialedata[[#This Row],[C3/m²]:[C4/m²]]),IF(MOD(BF$2,Materialedata[[#This Row],[Levetid]])=0,SUM(Materialedata[[#This Row],[A1-A3/m²]:[C4/m²]]),0))
))</f>
        <v>9.2774998799999988</v>
      </c>
      <c r="BG16" s="141">
        <f>IF(BG$2&gt;Input_Tidshorisont,BlankTegn,IF(BG$2=0,SUM(Materialedata[[#This Row],[A1-A3/m²]:[A4/m²]]),
BF16+IF(BG$2=Input_Tidshorisont,SUM(Materialedata[[#This Row],[C3/m²]:[C4/m²]]),IF(MOD(BG$2,Materialedata[[#This Row],[Levetid]])=0,SUM(Materialedata[[#This Row],[A1-A3/m²]:[C4/m²]]),0))
))</f>
        <v>9.2774998799999988</v>
      </c>
      <c r="BH16" s="141">
        <f>IF(BH$2&gt;Input_Tidshorisont,BlankTegn,IF(BH$2=0,SUM(Materialedata[[#This Row],[A1-A3/m²]:[A4/m²]]),
BG16+IF(BH$2=Input_Tidshorisont,SUM(Materialedata[[#This Row],[C3/m²]:[C4/m²]]),IF(MOD(BH$2,Materialedata[[#This Row],[Levetid]])=0,SUM(Materialedata[[#This Row],[A1-A3/m²]:[C4/m²]]),0))
))</f>
        <v>9.2774998799999988</v>
      </c>
      <c r="BI16" s="141">
        <f>IF(BI$2&gt;Input_Tidshorisont,BlankTegn,IF(BI$2=0,SUM(Materialedata[[#This Row],[A1-A3/m²]:[A4/m²]]),
BH16+IF(BI$2=Input_Tidshorisont,SUM(Materialedata[[#This Row],[C3/m²]:[C4/m²]]),IF(MOD(BI$2,Materialedata[[#This Row],[Levetid]])=0,SUM(Materialedata[[#This Row],[A1-A3/m²]:[C4/m²]]),0))
))</f>
        <v>9.2774998799999988</v>
      </c>
      <c r="BJ16" s="141">
        <f>IF(BJ$2&gt;Input_Tidshorisont,BlankTegn,IF(BJ$2=0,SUM(Materialedata[[#This Row],[A1-A3/m²]:[A4/m²]]),
BI16+IF(BJ$2=Input_Tidshorisont,SUM(Materialedata[[#This Row],[C3/m²]:[C4/m²]]),IF(MOD(BJ$2,Materialedata[[#This Row],[Levetid]])=0,SUM(Materialedata[[#This Row],[A1-A3/m²]:[C4/m²]]),0))
))</f>
        <v>9.2774998799999988</v>
      </c>
      <c r="BK16" s="141">
        <f>IF(BK$2&gt;Input_Tidshorisont,BlankTegn,IF(BK$2=0,SUM(Materialedata[[#This Row],[A1-A3/m²]:[A4/m²]]),
BJ16+IF(BK$2=Input_Tidshorisont,SUM(Materialedata[[#This Row],[C3/m²]:[C4/m²]]),IF(MOD(BK$2,Materialedata[[#This Row],[Levetid]])=0,SUM(Materialedata[[#This Row],[A1-A3/m²]:[C4/m²]]),0))
))</f>
        <v>9.2774998799999988</v>
      </c>
      <c r="BL16" s="141">
        <f>IF(BL$2&gt;Input_Tidshorisont,BlankTegn,IF(BL$2=0,SUM(Materialedata[[#This Row],[A1-A3/m²]:[A4/m²]]),
BK16+IF(BL$2=Input_Tidshorisont,SUM(Materialedata[[#This Row],[C3/m²]:[C4/m²]]),IF(MOD(BL$2,Materialedata[[#This Row],[Levetid]])=0,SUM(Materialedata[[#This Row],[A1-A3/m²]:[C4/m²]]),0))
))</f>
        <v>9.2774998799999988</v>
      </c>
      <c r="BM16" s="141">
        <f>IF(BM$2&gt;Input_Tidshorisont,BlankTegn,IF(BM$2=0,SUM(Materialedata[[#This Row],[A1-A3/m²]:[A4/m²]]),
BL16+IF(BM$2=Input_Tidshorisont,SUM(Materialedata[[#This Row],[C3/m²]:[C4/m²]]),IF(MOD(BM$2,Materialedata[[#This Row],[Levetid]])=0,SUM(Materialedata[[#This Row],[A1-A3/m²]:[C4/m²]]),0))
))</f>
        <v>9.2774998799999988</v>
      </c>
      <c r="BN16" s="141">
        <f>IF(BN$2&gt;Input_Tidshorisont,BlankTegn,IF(BN$2=0,SUM(Materialedata[[#This Row],[A1-A3/m²]:[A4/m²]]),
BM16+IF(BN$2=Input_Tidshorisont,SUM(Materialedata[[#This Row],[C3/m²]:[C4/m²]]),IF(MOD(BN$2,Materialedata[[#This Row],[Levetid]])=0,SUM(Materialedata[[#This Row],[A1-A3/m²]:[C4/m²]]),0))
))</f>
        <v>9.2774998799999988</v>
      </c>
      <c r="BO16" s="141">
        <f>IF(BO$2&gt;Input_Tidshorisont,BlankTegn,IF(BO$2=0,SUM(Materialedata[[#This Row],[A1-A3/m²]:[A4/m²]]),
BN16+IF(BO$2=Input_Tidshorisont,SUM(Materialedata[[#This Row],[C3/m²]:[C4/m²]]),IF(MOD(BO$2,Materialedata[[#This Row],[Levetid]])=0,SUM(Materialedata[[#This Row],[A1-A3/m²]:[C4/m²]]),0))
))</f>
        <v>9.2774998799999988</v>
      </c>
      <c r="BP16" s="141">
        <f>IF(BP$2&gt;Input_Tidshorisont,BlankTegn,IF(BP$2=0,SUM(Materialedata[[#This Row],[A1-A3/m²]:[A4/m²]]),
BO16+IF(BP$2=Input_Tidshorisont,SUM(Materialedata[[#This Row],[C3/m²]:[C4/m²]]),IF(MOD(BP$2,Materialedata[[#This Row],[Levetid]])=0,SUM(Materialedata[[#This Row],[A1-A3/m²]:[C4/m²]]),0))
))</f>
        <v>9.2774998799999988</v>
      </c>
      <c r="BQ16" s="141">
        <f>IF(BQ$2&gt;Input_Tidshorisont,BlankTegn,IF(BQ$2=0,SUM(Materialedata[[#This Row],[A1-A3/m²]:[A4/m²]]),
BP16+IF(BQ$2=Input_Tidshorisont,SUM(Materialedata[[#This Row],[C3/m²]:[C4/m²]]),IF(MOD(BQ$2,Materialedata[[#This Row],[Levetid]])=0,SUM(Materialedata[[#This Row],[A1-A3/m²]:[C4/m²]]),0))
))</f>
        <v>9.2774998799999988</v>
      </c>
      <c r="BR16" s="141">
        <f>IF(BR$2&gt;Input_Tidshorisont,BlankTegn,IF(BR$2=0,SUM(Materialedata[[#This Row],[A1-A3/m²]:[A4/m²]]),
BQ16+IF(BR$2=Input_Tidshorisont,SUM(Materialedata[[#This Row],[C3/m²]:[C4/m²]]),IF(MOD(BR$2,Materialedata[[#This Row],[Levetid]])=0,SUM(Materialedata[[#This Row],[A1-A3/m²]:[C4/m²]]),0))
))</f>
        <v>9.2774998799999988</v>
      </c>
      <c r="BS16" s="141">
        <f>IF(BS$2&gt;Input_Tidshorisont,BlankTegn,IF(BS$2=0,SUM(Materialedata[[#This Row],[A1-A3/m²]:[A4/m²]]),
BR16+IF(BS$2=Input_Tidshorisont,SUM(Materialedata[[#This Row],[C3/m²]:[C4/m²]]),IF(MOD(BS$2,Materialedata[[#This Row],[Levetid]])=0,SUM(Materialedata[[#This Row],[A1-A3/m²]:[C4/m²]]),0))
))</f>
        <v>9.2774998799999988</v>
      </c>
      <c r="BT16" s="141">
        <f>IF(BT$2&gt;Input_Tidshorisont,BlankTegn,IF(BT$2=0,SUM(Materialedata[[#This Row],[A1-A3/m²]:[A4/m²]]),
BS16+IF(BT$2=Input_Tidshorisont,SUM(Materialedata[[#This Row],[C3/m²]:[C4/m²]]),IF(MOD(BT$2,Materialedata[[#This Row],[Levetid]])=0,SUM(Materialedata[[#This Row],[A1-A3/m²]:[C4/m²]]),0))
))</f>
        <v>9.2774998799999988</v>
      </c>
      <c r="BU16" s="141">
        <f>IF(BU$2&gt;Input_Tidshorisont,BlankTegn,IF(BU$2=0,SUM(Materialedata[[#This Row],[A1-A3/m²]:[A4/m²]]),
BT16+IF(BU$2=Input_Tidshorisont,SUM(Materialedata[[#This Row],[C3/m²]:[C4/m²]]),IF(MOD(BU$2,Materialedata[[#This Row],[Levetid]])=0,SUM(Materialedata[[#This Row],[A1-A3/m²]:[C4/m²]]),0))
))</f>
        <v>9.2774998799999988</v>
      </c>
      <c r="BV16" s="141">
        <f>IF(BV$2&gt;Input_Tidshorisont,BlankTegn,IF(BV$2=0,SUM(Materialedata[[#This Row],[A1-A3/m²]:[A4/m²]]),
BU16+IF(BV$2=Input_Tidshorisont,SUM(Materialedata[[#This Row],[C3/m²]:[C4/m²]]),IF(MOD(BV$2,Materialedata[[#This Row],[Levetid]])=0,SUM(Materialedata[[#This Row],[A1-A3/m²]:[C4/m²]]),0))
))</f>
        <v>9.2774998799999988</v>
      </c>
      <c r="BW16" s="141">
        <f>IF(BW$2&gt;Input_Tidshorisont,BlankTegn,IF(BW$2=0,SUM(Materialedata[[#This Row],[A1-A3/m²]:[A4/m²]]),
BV16+IF(BW$2=Input_Tidshorisont,SUM(Materialedata[[#This Row],[C3/m²]:[C4/m²]]),IF(MOD(BW$2,Materialedata[[#This Row],[Levetid]])=0,SUM(Materialedata[[#This Row],[A1-A3/m²]:[C4/m²]]),0))
))</f>
        <v>9.2774998799999988</v>
      </c>
      <c r="BX16" s="141">
        <f>IF(BX$2&gt;Input_Tidshorisont,BlankTegn,IF(BX$2=0,SUM(Materialedata[[#This Row],[A1-A3/m²]:[A4/m²]]),
BW16+IF(BX$2=Input_Tidshorisont,SUM(Materialedata[[#This Row],[C3/m²]:[C4/m²]]),IF(MOD(BX$2,Materialedata[[#This Row],[Levetid]])=0,SUM(Materialedata[[#This Row],[A1-A3/m²]:[C4/m²]]),0))
))</f>
        <v>9.2774998799999988</v>
      </c>
      <c r="BY16" s="141">
        <f>IF(BY$2&gt;Input_Tidshorisont,BlankTegn,IF(BY$2=0,SUM(Materialedata[[#This Row],[A1-A3/m²]:[A4/m²]]),
BX16+IF(BY$2=Input_Tidshorisont,SUM(Materialedata[[#This Row],[C3/m²]:[C4/m²]]),IF(MOD(BY$2,Materialedata[[#This Row],[Levetid]])=0,SUM(Materialedata[[#This Row],[A1-A3/m²]:[C4/m²]]),0))
))</f>
        <v>9.2774998799999988</v>
      </c>
      <c r="BZ16" s="141">
        <f>IF(BZ$2&gt;Input_Tidshorisont,BlankTegn,IF(BZ$2=0,SUM(Materialedata[[#This Row],[A1-A3/m²]:[A4/m²]]),
BY16+IF(BZ$2=Input_Tidshorisont,SUM(Materialedata[[#This Row],[C3/m²]:[C4/m²]]),IF(MOD(BZ$2,Materialedata[[#This Row],[Levetid]])=0,SUM(Materialedata[[#This Row],[A1-A3/m²]:[C4/m²]]),0))
))</f>
        <v>9.2774998799999988</v>
      </c>
      <c r="CA16" s="141">
        <f>IF(CA$2&gt;Input_Tidshorisont,BlankTegn,IF(CA$2=0,SUM(Materialedata[[#This Row],[A1-A3/m²]:[A4/m²]]),
BZ16+IF(CA$2=Input_Tidshorisont,SUM(Materialedata[[#This Row],[C3/m²]:[C4/m²]]),IF(MOD(CA$2,Materialedata[[#This Row],[Levetid]])=0,SUM(Materialedata[[#This Row],[A1-A3/m²]:[C4/m²]]),0))
))</f>
        <v>9.2774998799999988</v>
      </c>
      <c r="CB16" s="141">
        <f>IF(CB$2&gt;Input_Tidshorisont,BlankTegn,IF(CB$2=0,SUM(Materialedata[[#This Row],[A1-A3/m²]:[A4/m²]]),
CA16+IF(CB$2=Input_Tidshorisont,SUM(Materialedata[[#This Row],[C3/m²]:[C4/m²]]),IF(MOD(CB$2,Materialedata[[#This Row],[Levetid]])=0,SUM(Materialedata[[#This Row],[A1-A3/m²]:[C4/m²]]),0))
))</f>
        <v>9.2774998799999988</v>
      </c>
      <c r="CC16" s="141">
        <f>IF(CC$2&gt;Input_Tidshorisont,BlankTegn,IF(CC$2=0,SUM(Materialedata[[#This Row],[A1-A3/m²]:[A4/m²]]),
CB16+IF(CC$2=Input_Tidshorisont,SUM(Materialedata[[#This Row],[C3/m²]:[C4/m²]]),IF(MOD(CC$2,Materialedata[[#This Row],[Levetid]])=0,SUM(Materialedata[[#This Row],[A1-A3/m²]:[C4/m²]]),0))
))</f>
        <v>9.2774998799999988</v>
      </c>
      <c r="CD16" s="141">
        <f>IF(CD$2&gt;Input_Tidshorisont,BlankTegn,IF(CD$2=0,SUM(Materialedata[[#This Row],[A1-A3/m²]:[A4/m²]]),
CC16+IF(CD$2=Input_Tidshorisont,SUM(Materialedata[[#This Row],[C3/m²]:[C4/m²]]),IF(MOD(CD$2,Materialedata[[#This Row],[Levetid]])=0,SUM(Materialedata[[#This Row],[A1-A3/m²]:[C4/m²]]),0))
))</f>
        <v>9.2774998799999988</v>
      </c>
      <c r="CE16" s="141">
        <f>IF(CE$2&gt;Input_Tidshorisont,BlankTegn,IF(CE$2=0,SUM(Materialedata[[#This Row],[A1-A3/m²]:[A4/m²]]),
CD16+IF(CE$2=Input_Tidshorisont,SUM(Materialedata[[#This Row],[C3/m²]:[C4/m²]]),IF(MOD(CE$2,Materialedata[[#This Row],[Levetid]])=0,SUM(Materialedata[[#This Row],[A1-A3/m²]:[C4/m²]]),0))
))</f>
        <v>9.2774998799999988</v>
      </c>
      <c r="CF16" s="141">
        <f>IF(CF$2&gt;Input_Tidshorisont,BlankTegn,IF(CF$2=0,SUM(Materialedata[[#This Row],[A1-A3/m²]:[A4/m²]]),
CE16+IF(CF$2=Input_Tidshorisont,SUM(Materialedata[[#This Row],[C3/m²]:[C4/m²]]),IF(MOD(CF$2,Materialedata[[#This Row],[Levetid]])=0,SUM(Materialedata[[#This Row],[A1-A3/m²]:[C4/m²]]),0))
))</f>
        <v>9.2774998799999988</v>
      </c>
      <c r="CG16" s="141">
        <f>IF(CG$2&gt;Input_Tidshorisont,BlankTegn,IF(CG$2=0,SUM(Materialedata[[#This Row],[A1-A3/m²]:[A4/m²]]),
CF16+IF(CG$2=Input_Tidshorisont,SUM(Materialedata[[#This Row],[C3/m²]:[C4/m²]]),IF(MOD(CG$2,Materialedata[[#This Row],[Levetid]])=0,SUM(Materialedata[[#This Row],[A1-A3/m²]:[C4/m²]]),0))
))</f>
        <v>9.2774998799999988</v>
      </c>
      <c r="CH16" s="141">
        <f>IF(CH$2&gt;Input_Tidshorisont,BlankTegn,IF(CH$2=0,SUM(Materialedata[[#This Row],[A1-A3/m²]:[A4/m²]]),
CG16+IF(CH$2=Input_Tidshorisont,SUM(Materialedata[[#This Row],[C3/m²]:[C4/m²]]),IF(MOD(CH$2,Materialedata[[#This Row],[Levetid]])=0,SUM(Materialedata[[#This Row],[A1-A3/m²]:[C4/m²]]),0))
))</f>
        <v>9.6667302599999996</v>
      </c>
      <c r="CI16" s="141" t="str">
        <f>IF(CI$2&gt;Input_Tidshorisont,BlankTegn,IF(CI$2=0,SUM(Materialedata[[#This Row],[A1-A3/m²]:[A4/m²]]),
CH16+IF(CI$2=Input_Tidshorisont,SUM(Materialedata[[#This Row],[C3/m²]:[C4/m²]]),IF(MOD(CI$2,Materialedata[[#This Row],[Levetid]])=0,SUM(Materialedata[[#This Row],[A1-A3/m²]:[C4/m²]]),0))
))</f>
        <v>.</v>
      </c>
      <c r="CJ16" s="141" t="str">
        <f>IF(CJ$2&gt;Input_Tidshorisont,BlankTegn,IF(CJ$2=0,SUM(Materialedata[[#This Row],[A1-A3/m²]:[A4/m²]]),
CI16+IF(CJ$2=Input_Tidshorisont,SUM(Materialedata[[#This Row],[C3/m²]:[C4/m²]]),IF(MOD(CJ$2,Materialedata[[#This Row],[Levetid]])=0,SUM(Materialedata[[#This Row],[A1-A3/m²]:[C4/m²]]),0))
))</f>
        <v>.</v>
      </c>
      <c r="CK16" s="141" t="str">
        <f>IF(CK$2&gt;Input_Tidshorisont,BlankTegn,IF(CK$2=0,SUM(Materialedata[[#This Row],[A1-A3/m²]:[A4/m²]]),
CJ16+IF(CK$2=Input_Tidshorisont,SUM(Materialedata[[#This Row],[C3/m²]:[C4/m²]]),IF(MOD(CK$2,Materialedata[[#This Row],[Levetid]])=0,SUM(Materialedata[[#This Row],[A1-A3/m²]:[C4/m²]]),0))
))</f>
        <v>.</v>
      </c>
      <c r="CL16" s="141" t="str">
        <f>IF(CL$2&gt;Input_Tidshorisont,BlankTegn,IF(CL$2=0,SUM(Materialedata[[#This Row],[A1-A3/m²]:[A4/m²]]),
CK16+IF(CL$2=Input_Tidshorisont,SUM(Materialedata[[#This Row],[C3/m²]:[C4/m²]]),IF(MOD(CL$2,Materialedata[[#This Row],[Levetid]])=0,SUM(Materialedata[[#This Row],[A1-A3/m²]:[C4/m²]]),0))
))</f>
        <v>.</v>
      </c>
      <c r="CM16" s="141" t="str">
        <f>IF(CM$2&gt;Input_Tidshorisont,BlankTegn,IF(CM$2=0,SUM(Materialedata[[#This Row],[A1-A3/m²]:[A4/m²]]),
CL16+IF(CM$2=Input_Tidshorisont,SUM(Materialedata[[#This Row],[C3/m²]:[C4/m²]]),IF(MOD(CM$2,Materialedata[[#This Row],[Levetid]])=0,SUM(Materialedata[[#This Row],[A1-A3/m²]:[C4/m²]]),0))
))</f>
        <v>.</v>
      </c>
      <c r="CN16" s="141" t="str">
        <f>IF(CN$2&gt;Input_Tidshorisont,BlankTegn,IF(CN$2=0,SUM(Materialedata[[#This Row],[A1-A3/m²]:[A4/m²]]),
CM16+IF(CN$2=Input_Tidshorisont,SUM(Materialedata[[#This Row],[C3/m²]:[C4/m²]]),IF(MOD(CN$2,Materialedata[[#This Row],[Levetid]])=0,SUM(Materialedata[[#This Row],[A1-A3/m²]:[C4/m²]]),0))
))</f>
        <v>.</v>
      </c>
      <c r="CO16" s="141" t="str">
        <f>IF(CO$2&gt;Input_Tidshorisont,BlankTegn,IF(CO$2=0,SUM(Materialedata[[#This Row],[A1-A3/m²]:[A4/m²]]),
CN16+IF(CO$2=Input_Tidshorisont,SUM(Materialedata[[#This Row],[C3/m²]:[C4/m²]]),IF(MOD(CO$2,Materialedata[[#This Row],[Levetid]])=0,SUM(Materialedata[[#This Row],[A1-A3/m²]:[C4/m²]]),0))
))</f>
        <v>.</v>
      </c>
      <c r="CP16" s="141" t="str">
        <f>IF(CP$2&gt;Input_Tidshorisont,BlankTegn,IF(CP$2=0,SUM(Materialedata[[#This Row],[A1-A3/m²]:[A4/m²]]),
CO16+IF(CP$2=Input_Tidshorisont,SUM(Materialedata[[#This Row],[C3/m²]:[C4/m²]]),IF(MOD(CP$2,Materialedata[[#This Row],[Levetid]])=0,SUM(Materialedata[[#This Row],[A1-A3/m²]:[C4/m²]]),0))
))</f>
        <v>.</v>
      </c>
      <c r="CQ16" s="141" t="str">
        <f>IF(CQ$2&gt;Input_Tidshorisont,BlankTegn,IF(CQ$2=0,SUM(Materialedata[[#This Row],[A1-A3/m²]:[A4/m²]]),
CP16+IF(CQ$2=Input_Tidshorisont,SUM(Materialedata[[#This Row],[C3/m²]:[C4/m²]]),IF(MOD(CQ$2,Materialedata[[#This Row],[Levetid]])=0,SUM(Materialedata[[#This Row],[A1-A3/m²]:[C4/m²]]),0))
))</f>
        <v>.</v>
      </c>
      <c r="CR16" s="141" t="str">
        <f>IF(CR$2&gt;Input_Tidshorisont,BlankTegn,IF(CR$2=0,SUM(Materialedata[[#This Row],[A1-A3/m²]:[A4/m²]]),
CQ16+IF(CR$2=Input_Tidshorisont,SUM(Materialedata[[#This Row],[C3/m²]:[C4/m²]]),IF(MOD(CR$2,Materialedata[[#This Row],[Levetid]])=0,SUM(Materialedata[[#This Row],[A1-A3/m²]:[C4/m²]]),0))
))</f>
        <v>.</v>
      </c>
      <c r="CS16" s="141" t="str">
        <f>IF(CS$2&gt;Input_Tidshorisont,BlankTegn,IF(CS$2=0,SUM(Materialedata[[#This Row],[A1-A3/m²]:[A4/m²]]),
CR16+IF(CS$2=Input_Tidshorisont,SUM(Materialedata[[#This Row],[C3/m²]:[C4/m²]]),IF(MOD(CS$2,Materialedata[[#This Row],[Levetid]])=0,SUM(Materialedata[[#This Row],[A1-A3/m²]:[C4/m²]]),0))
))</f>
        <v>.</v>
      </c>
      <c r="CT16" s="141" t="str">
        <f>IF(CT$2&gt;Input_Tidshorisont,BlankTegn,IF(CT$2=0,SUM(Materialedata[[#This Row],[A1-A3/m²]:[A4/m²]]),
CS16+IF(CT$2=Input_Tidshorisont,SUM(Materialedata[[#This Row],[C3/m²]:[C4/m²]]),IF(MOD(CT$2,Materialedata[[#This Row],[Levetid]])=0,SUM(Materialedata[[#This Row],[A1-A3/m²]:[C4/m²]]),0))
))</f>
        <v>.</v>
      </c>
      <c r="CU16" s="141" t="str">
        <f>IF(CU$2&gt;Input_Tidshorisont,BlankTegn,IF(CU$2=0,SUM(Materialedata[[#This Row],[A1-A3/m²]:[A4/m²]]),
CT16+IF(CU$2=Input_Tidshorisont,SUM(Materialedata[[#This Row],[C3/m²]:[C4/m²]]),IF(MOD(CU$2,Materialedata[[#This Row],[Levetid]])=0,SUM(Materialedata[[#This Row],[A1-A3/m²]:[C4/m²]]),0))
))</f>
        <v>.</v>
      </c>
      <c r="CV16" s="141" t="str">
        <f>IF(CV$2&gt;Input_Tidshorisont,BlankTegn,IF(CV$2=0,SUM(Materialedata[[#This Row],[A1-A3/m²]:[A4/m²]]),
CU16+IF(CV$2=Input_Tidshorisont,SUM(Materialedata[[#This Row],[C3/m²]:[C4/m²]]),IF(MOD(CV$2,Materialedata[[#This Row],[Levetid]])=0,SUM(Materialedata[[#This Row],[A1-A3/m²]:[C4/m²]]),0))
))</f>
        <v>.</v>
      </c>
      <c r="CW16" s="141" t="str">
        <f>IF(CW$2&gt;Input_Tidshorisont,BlankTegn,IF(CW$2=0,SUM(Materialedata[[#This Row],[A1-A3/m²]:[A4/m²]]),
CV16+IF(CW$2=Input_Tidshorisont,SUM(Materialedata[[#This Row],[C3/m²]:[C4/m²]]),IF(MOD(CW$2,Materialedata[[#This Row],[Levetid]])=0,SUM(Materialedata[[#This Row],[A1-A3/m²]:[C4/m²]]),0))
))</f>
        <v>.</v>
      </c>
      <c r="CX16" s="141" t="str">
        <f>IF(CX$2&gt;Input_Tidshorisont,BlankTegn,IF(CX$2=0,SUM(Materialedata[[#This Row],[A1-A3/m²]:[A4/m²]]),
CW16+IF(CX$2=Input_Tidshorisont,SUM(Materialedata[[#This Row],[C3/m²]:[C4/m²]]),IF(MOD(CX$2,Materialedata[[#This Row],[Levetid]])=0,SUM(Materialedata[[#This Row],[A1-A3/m²]:[C4/m²]]),0))
))</f>
        <v>.</v>
      </c>
      <c r="CY16" s="141" t="str">
        <f>IF(CY$2&gt;Input_Tidshorisont,BlankTegn,IF(CY$2=0,SUM(Materialedata[[#This Row],[A1-A3/m²]:[A4/m²]]),
CX16+IF(CY$2=Input_Tidshorisont,SUM(Materialedata[[#This Row],[C3/m²]:[C4/m²]]),IF(MOD(CY$2,Materialedata[[#This Row],[Levetid]])=0,SUM(Materialedata[[#This Row],[A1-A3/m²]:[C4/m²]]),0))
))</f>
        <v>.</v>
      </c>
      <c r="CZ16" s="141" t="str">
        <f>IF(CZ$2&gt;Input_Tidshorisont,BlankTegn,IF(CZ$2=0,SUM(Materialedata[[#This Row],[A1-A3/m²]:[A4/m²]]),
CY16+IF(CZ$2=Input_Tidshorisont,SUM(Materialedata[[#This Row],[C3/m²]:[C4/m²]]),IF(MOD(CZ$2,Materialedata[[#This Row],[Levetid]])=0,SUM(Materialedata[[#This Row],[A1-A3/m²]:[C4/m²]]),0))
))</f>
        <v>.</v>
      </c>
      <c r="DA16" s="141" t="str">
        <f>IF(DA$2&gt;Input_Tidshorisont,BlankTegn,IF(DA$2=0,SUM(Materialedata[[#This Row],[A1-A3/m²]:[A4/m²]]),
CZ16+IF(DA$2=Input_Tidshorisont,SUM(Materialedata[[#This Row],[C3/m²]:[C4/m²]]),IF(MOD(DA$2,Materialedata[[#This Row],[Levetid]])=0,SUM(Materialedata[[#This Row],[A1-A3/m²]:[C4/m²]]),0))
))</f>
        <v>.</v>
      </c>
      <c r="DB16" s="141" t="str">
        <f>IF(DB$2&gt;Input_Tidshorisont,BlankTegn,IF(DB$2=0,SUM(Materialedata[[#This Row],[A1-A3/m²]:[A4/m²]]),
DA16+IF(DB$2=Input_Tidshorisont,SUM(Materialedata[[#This Row],[C3/m²]:[C4/m²]]),IF(MOD(DB$2,Materialedata[[#This Row],[Levetid]])=0,SUM(Materialedata[[#This Row],[A1-A3/m²]:[C4/m²]]),0))
))</f>
        <v>.</v>
      </c>
      <c r="DC16" s="141" t="str">
        <f>IF(DC$2&gt;Input_Tidshorisont,BlankTegn,IF(DC$2=0,SUM(Materialedata[[#This Row],[A1-A3/m²]:[A4/m²]]),
DB16+IF(DC$2=Input_Tidshorisont,SUM(Materialedata[[#This Row],[C3/m²]:[C4/m²]]),IF(MOD(DC$2,Materialedata[[#This Row],[Levetid]])=0,SUM(Materialedata[[#This Row],[A1-A3/m²]:[C4/m²]]),0))
))</f>
        <v>.</v>
      </c>
      <c r="DD16" s="141" t="str">
        <f>IF(DD$2&gt;Input_Tidshorisont,BlankTegn,IF(DD$2=0,SUM(Materialedata[[#This Row],[A1-A3/m²]:[A4/m²]]),
DC16+IF(DD$2=Input_Tidshorisont,SUM(Materialedata[[#This Row],[C3/m²]:[C4/m²]]),IF(MOD(DD$2,Materialedata[[#This Row],[Levetid]])=0,SUM(Materialedata[[#This Row],[A1-A3/m²]:[C4/m²]]),0))
))</f>
        <v>.</v>
      </c>
      <c r="DE16" s="141" t="str">
        <f>IF(DE$2&gt;Input_Tidshorisont,BlankTegn,IF(DE$2=0,SUM(Materialedata[[#This Row],[A1-A3/m²]:[A4/m²]]),
DD16+IF(DE$2=Input_Tidshorisont,SUM(Materialedata[[#This Row],[C3/m²]:[C4/m²]]),IF(MOD(DE$2,Materialedata[[#This Row],[Levetid]])=0,SUM(Materialedata[[#This Row],[A1-A3/m²]:[C4/m²]]),0))
))</f>
        <v>.</v>
      </c>
      <c r="DF16" s="141" t="str">
        <f>IF(DF$2&gt;Input_Tidshorisont,BlankTegn,IF(DF$2=0,SUM(Materialedata[[#This Row],[A1-A3/m²]:[A4/m²]]),
DE16+IF(DF$2=Input_Tidshorisont,SUM(Materialedata[[#This Row],[C3/m²]:[C4/m²]]),IF(MOD(DF$2,Materialedata[[#This Row],[Levetid]])=0,SUM(Materialedata[[#This Row],[A1-A3/m²]:[C4/m²]]),0))
))</f>
        <v>.</v>
      </c>
      <c r="DG16" s="141" t="str">
        <f>IF(DG$2&gt;Input_Tidshorisont,BlankTegn,IF(DG$2=0,SUM(Materialedata[[#This Row],[A1-A3/m²]:[A4/m²]]),
DF16+IF(DG$2=Input_Tidshorisont,SUM(Materialedata[[#This Row],[C3/m²]:[C4/m²]]),IF(MOD(DG$2,Materialedata[[#This Row],[Levetid]])=0,SUM(Materialedata[[#This Row],[A1-A3/m²]:[C4/m²]]),0))
))</f>
        <v>.</v>
      </c>
      <c r="DH16" s="141" t="str">
        <f>IF(DH$2&gt;Input_Tidshorisont,BlankTegn,IF(DH$2=0,SUM(Materialedata[[#This Row],[A1-A3/m²]:[A4/m²]]),
DG16+IF(DH$2=Input_Tidshorisont,SUM(Materialedata[[#This Row],[C3/m²]:[C4/m²]]),IF(MOD(DH$2,Materialedata[[#This Row],[Levetid]])=0,SUM(Materialedata[[#This Row],[A1-A3/m²]:[C4/m²]]),0))
))</f>
        <v>.</v>
      </c>
      <c r="DI16" s="141" t="str">
        <f>IF(DI$2&gt;Input_Tidshorisont,BlankTegn,IF(DI$2=0,SUM(Materialedata[[#This Row],[A1-A3/m²]:[A4/m²]]),
DH16+IF(DI$2=Input_Tidshorisont,SUM(Materialedata[[#This Row],[C3/m²]:[C4/m²]]),IF(MOD(DI$2,Materialedata[[#This Row],[Levetid]])=0,SUM(Materialedata[[#This Row],[A1-A3/m²]:[C4/m²]]),0))
))</f>
        <v>.</v>
      </c>
      <c r="DJ16" s="141" t="str">
        <f>IF(DJ$2&gt;Input_Tidshorisont,BlankTegn,IF(DJ$2=0,SUM(Materialedata[[#This Row],[A1-A3/m²]:[A4/m²]]),
DI16+IF(DJ$2=Input_Tidshorisont,SUM(Materialedata[[#This Row],[C3/m²]:[C4/m²]]),IF(MOD(DJ$2,Materialedata[[#This Row],[Levetid]])=0,SUM(Materialedata[[#This Row],[A1-A3/m²]:[C4/m²]]),0))
))</f>
        <v>.</v>
      </c>
      <c r="DK16" s="141" t="str">
        <f>IF(DK$2&gt;Input_Tidshorisont,BlankTegn,IF(DK$2=0,SUM(Materialedata[[#This Row],[A1-A3/m²]:[A4/m²]]),
DJ16+IF(DK$2=Input_Tidshorisont,SUM(Materialedata[[#This Row],[C3/m²]:[C4/m²]]),IF(MOD(DK$2,Materialedata[[#This Row],[Levetid]])=0,SUM(Materialedata[[#This Row],[A1-A3/m²]:[C4/m²]]),0))
))</f>
        <v>.</v>
      </c>
      <c r="DL16" s="141" t="str">
        <f>IF(DL$2&gt;Input_Tidshorisont,BlankTegn,IF(DL$2=0,SUM(Materialedata[[#This Row],[A1-A3/m²]:[A4/m²]]),
DK16+IF(DL$2=Input_Tidshorisont,SUM(Materialedata[[#This Row],[C3/m²]:[C4/m²]]),IF(MOD(DL$2,Materialedata[[#This Row],[Levetid]])=0,SUM(Materialedata[[#This Row],[A1-A3/m²]:[C4/m²]]),0))
))</f>
        <v>.</v>
      </c>
      <c r="DM16" s="19"/>
    </row>
    <row r="17" spans="1:117" ht="60">
      <c r="A17" s="182" t="s">
        <v>42</v>
      </c>
      <c r="B17" s="182" t="s">
        <v>150</v>
      </c>
      <c r="C17" s="148" t="s">
        <v>151</v>
      </c>
      <c r="D17" s="149" t="s">
        <v>279</v>
      </c>
      <c r="E17" s="180" t="s">
        <v>311</v>
      </c>
      <c r="F17" s="182" t="s">
        <v>134</v>
      </c>
      <c r="G17" s="182">
        <v>100</v>
      </c>
      <c r="H17" s="183">
        <v>2720</v>
      </c>
      <c r="I17" s="194">
        <f>((0.97*4)/1.2)*1.2</f>
        <v>3.88</v>
      </c>
      <c r="J17" s="184" t="s">
        <v>101</v>
      </c>
      <c r="K17" s="182">
        <f>2580/1000</f>
        <v>2.58</v>
      </c>
      <c r="L17" s="182" t="s">
        <v>41</v>
      </c>
      <c r="M17" s="185">
        <f>IF(ISBLANK(Materialedata[[#This Row],[A4-gruppe]]),BlankTegn,INDEX(Byggeproces[GWP],MATCH(Materialedata[[#This Row],[A4-gruppe]],Byggeproces[Gruppe/Undergruppe],0)))</f>
        <v>8.6E-3</v>
      </c>
      <c r="N17" s="182">
        <f>2.56/1000</f>
        <v>2.5600000000000002E-3</v>
      </c>
      <c r="O17" s="182">
        <f>0.701/1000</f>
        <v>7.0099999999999991E-4</v>
      </c>
      <c r="P17" s="182">
        <f>-1.5/1000</f>
        <v>-1.5E-3</v>
      </c>
      <c r="Q17" s="279">
        <f>Materialedata[[#This Row],[A1-A3/standardenhed]]*Materialedata[[#This Row],[Mængde/m²]]</f>
        <v>10.010400000000001</v>
      </c>
      <c r="R17" s="280" cm="1">
        <f t="array" ref="R17">IFERROR(_xlfn.IFS(Materialedata[[#This Row],[Mængde-enhed]]="kg/m²",Materialedata[[#This Row],[A4/kg]]*Materialedata[[#This Row],[Mængde/m²]],Materialedata[[#This Row],[Mængde-enhed]]="m³/m²",Materialedata[[#This Row],[A4/kg]]*Materialedata[[#This Row],[Mængde/m²]]*Materialedata[[#This Row],[Densitet]]),"N/A")</f>
        <v>3.3368000000000002E-2</v>
      </c>
      <c r="S17" s="182">
        <f>Materialedata[[#This Row],[C3/enhed]]*Materialedata[[#This Row],[Mængde/m²]]</f>
        <v>9.9328000000000003E-3</v>
      </c>
      <c r="T17" s="182">
        <f>Materialedata[[#This Row],[C4/enhed]]*Materialedata[[#This Row],[Mængde/m²]]</f>
        <v>2.7198799999999996E-3</v>
      </c>
      <c r="U17" s="182">
        <f>Materialedata[[#This Row],[D/enhed]]*Materialedata[[#This Row],[Mængde/m²]]</f>
        <v>-5.8199999999999997E-3</v>
      </c>
      <c r="V17" s="150">
        <f>IFERROR(INDEX(Range_Materiale_Genbrug,MATCH(Materialedata[[#This Row],[Komponent]],Facadekomponenter,0)),BlankTegn)</f>
        <v>0</v>
      </c>
      <c r="W17" s="150">
        <f>IFERROR(1-Materialedata[[#This Row],[Genbrug]],BlankTegn)</f>
        <v>1</v>
      </c>
      <c r="X17" s="186">
        <f>IFERROR(Materialedata[[#This Row],[A1-A3/m²_nyt]]*Materialedata[[#This Row],[Nyt]],BlankTegn)</f>
        <v>10.010400000000001</v>
      </c>
      <c r="Y17" s="186">
        <f>Materialedata[[#This Row],[A4/m²_nyt]]</f>
        <v>3.3368000000000002E-2</v>
      </c>
      <c r="Z17" s="186">
        <f>IFERROR(Materialedata[[#This Row],[C3/m²_nyt]]*Materialedata[[#This Row],[Nyt]],BlankTegn)</f>
        <v>9.9328000000000003E-3</v>
      </c>
      <c r="AA17" s="186">
        <f>IFERROR(Materialedata[[#This Row],[C4/m²_nyt]]*Materialedata[[#This Row],[Nyt]],BlankTegn)</f>
        <v>2.7198799999999996E-3</v>
      </c>
      <c r="AB17" s="186">
        <f>IFERROR(Materialedata[[#This Row],[D/m²_nyt]]*Materialedata[[#This Row],[Nyt]],BlankTegn)</f>
        <v>-5.8199999999999997E-3</v>
      </c>
      <c r="AC17" s="187">
        <f>58955.4476235039/1000</f>
        <v>58.955447623503893</v>
      </c>
      <c r="AD17" s="188" t="s">
        <v>134</v>
      </c>
      <c r="AE17" s="277">
        <f>1*Materialedata[[#This Row],[Mængde/m²]]</f>
        <v>3.88</v>
      </c>
      <c r="AF17" s="189">
        <f>Materialedata[[#This Row],[Pris/enhed]]*Materialedata[[#This Row],[Omregning]]</f>
        <v>228.7471367791951</v>
      </c>
      <c r="AG17" s="190">
        <v>0.03</v>
      </c>
      <c r="AH17" s="191">
        <v>1</v>
      </c>
      <c r="AI17" s="162">
        <v>0</v>
      </c>
      <c r="AJ17" s="141">
        <f>IF(AJ$2&gt;Input_Tidshorisont,BlankTegn,IF(AJ$2=0,SUM(Materialedata[[#This Row],[A1-A3/m²]:[A4/m²]]),
AI17+IF(AJ$2=Input_Tidshorisont,SUM(Materialedata[[#This Row],[C3/m²]:[C4/m²]]),IF(MOD(AJ$2,Materialedata[[#This Row],[Levetid]])=0,SUM(Materialedata[[#This Row],[A1-A3/m²]:[C4/m²]]),0))
))</f>
        <v>10.043768</v>
      </c>
      <c r="AK17" s="141">
        <f>IF(AK$2&gt;Input_Tidshorisont,BlankTegn,IF(AK$2=0,SUM(Materialedata[[#This Row],[A1-A3/m²]:[A4/m²]]),
AJ17+IF(AK$2=Input_Tidshorisont,SUM(Materialedata[[#This Row],[C3/m²]:[C4/m²]]),IF(MOD(AK$2,Materialedata[[#This Row],[Levetid]])=0,SUM(Materialedata[[#This Row],[A1-A3/m²]:[C4/m²]]),0))
))</f>
        <v>10.043768</v>
      </c>
      <c r="AL17" s="141">
        <f>IF(AL$2&gt;Input_Tidshorisont,BlankTegn,IF(AL$2=0,SUM(Materialedata[[#This Row],[A1-A3/m²]:[A4/m²]]),
AK17+IF(AL$2=Input_Tidshorisont,SUM(Materialedata[[#This Row],[C3/m²]:[C4/m²]]),IF(MOD(AL$2,Materialedata[[#This Row],[Levetid]])=0,SUM(Materialedata[[#This Row],[A1-A3/m²]:[C4/m²]]),0))
))</f>
        <v>10.043768</v>
      </c>
      <c r="AM17" s="141">
        <f>IF(AM$2&gt;Input_Tidshorisont,BlankTegn,IF(AM$2=0,SUM(Materialedata[[#This Row],[A1-A3/m²]:[A4/m²]]),
AL17+IF(AM$2=Input_Tidshorisont,SUM(Materialedata[[#This Row],[C3/m²]:[C4/m²]]),IF(MOD(AM$2,Materialedata[[#This Row],[Levetid]])=0,SUM(Materialedata[[#This Row],[A1-A3/m²]:[C4/m²]]),0))
))</f>
        <v>10.043768</v>
      </c>
      <c r="AN17" s="141">
        <f>IF(AN$2&gt;Input_Tidshorisont,BlankTegn,IF(AN$2=0,SUM(Materialedata[[#This Row],[A1-A3/m²]:[A4/m²]]),
AM17+IF(AN$2=Input_Tidshorisont,SUM(Materialedata[[#This Row],[C3/m²]:[C4/m²]]),IF(MOD(AN$2,Materialedata[[#This Row],[Levetid]])=0,SUM(Materialedata[[#This Row],[A1-A3/m²]:[C4/m²]]),0))
))</f>
        <v>10.043768</v>
      </c>
      <c r="AO17" s="141">
        <f>IF(AO$2&gt;Input_Tidshorisont,BlankTegn,IF(AO$2=0,SUM(Materialedata[[#This Row],[A1-A3/m²]:[A4/m²]]),
AN17+IF(AO$2=Input_Tidshorisont,SUM(Materialedata[[#This Row],[C3/m²]:[C4/m²]]),IF(MOD(AO$2,Materialedata[[#This Row],[Levetid]])=0,SUM(Materialedata[[#This Row],[A1-A3/m²]:[C4/m²]]),0))
))</f>
        <v>10.043768</v>
      </c>
      <c r="AP17" s="141">
        <f>IF(AP$2&gt;Input_Tidshorisont,BlankTegn,IF(AP$2=0,SUM(Materialedata[[#This Row],[A1-A3/m²]:[A4/m²]]),
AO17+IF(AP$2=Input_Tidshorisont,SUM(Materialedata[[#This Row],[C3/m²]:[C4/m²]]),IF(MOD(AP$2,Materialedata[[#This Row],[Levetid]])=0,SUM(Materialedata[[#This Row],[A1-A3/m²]:[C4/m²]]),0))
))</f>
        <v>10.043768</v>
      </c>
      <c r="AQ17" s="141">
        <f>IF(AQ$2&gt;Input_Tidshorisont,BlankTegn,IF(AQ$2=0,SUM(Materialedata[[#This Row],[A1-A3/m²]:[A4/m²]]),
AP17+IF(AQ$2=Input_Tidshorisont,SUM(Materialedata[[#This Row],[C3/m²]:[C4/m²]]),IF(MOD(AQ$2,Materialedata[[#This Row],[Levetid]])=0,SUM(Materialedata[[#This Row],[A1-A3/m²]:[C4/m²]]),0))
))</f>
        <v>10.043768</v>
      </c>
      <c r="AR17" s="141">
        <f>IF(AR$2&gt;Input_Tidshorisont,BlankTegn,IF(AR$2=0,SUM(Materialedata[[#This Row],[A1-A3/m²]:[A4/m²]]),
AQ17+IF(AR$2=Input_Tidshorisont,SUM(Materialedata[[#This Row],[C3/m²]:[C4/m²]]),IF(MOD(AR$2,Materialedata[[#This Row],[Levetid]])=0,SUM(Materialedata[[#This Row],[A1-A3/m²]:[C4/m²]]),0))
))</f>
        <v>10.043768</v>
      </c>
      <c r="AS17" s="141">
        <f>IF(AS$2&gt;Input_Tidshorisont,BlankTegn,IF(AS$2=0,SUM(Materialedata[[#This Row],[A1-A3/m²]:[A4/m²]]),
AR17+IF(AS$2=Input_Tidshorisont,SUM(Materialedata[[#This Row],[C3/m²]:[C4/m²]]),IF(MOD(AS$2,Materialedata[[#This Row],[Levetid]])=0,SUM(Materialedata[[#This Row],[A1-A3/m²]:[C4/m²]]),0))
))</f>
        <v>10.043768</v>
      </c>
      <c r="AT17" s="141">
        <f>IF(AT$2&gt;Input_Tidshorisont,BlankTegn,IF(AT$2=0,SUM(Materialedata[[#This Row],[A1-A3/m²]:[A4/m²]]),
AS17+IF(AT$2=Input_Tidshorisont,SUM(Materialedata[[#This Row],[C3/m²]:[C4/m²]]),IF(MOD(AT$2,Materialedata[[#This Row],[Levetid]])=0,SUM(Materialedata[[#This Row],[A1-A3/m²]:[C4/m²]]),0))
))</f>
        <v>10.043768</v>
      </c>
      <c r="AU17" s="141">
        <f>IF(AU$2&gt;Input_Tidshorisont,BlankTegn,IF(AU$2=0,SUM(Materialedata[[#This Row],[A1-A3/m²]:[A4/m²]]),
AT17+IF(AU$2=Input_Tidshorisont,SUM(Materialedata[[#This Row],[C3/m²]:[C4/m²]]),IF(MOD(AU$2,Materialedata[[#This Row],[Levetid]])=0,SUM(Materialedata[[#This Row],[A1-A3/m²]:[C4/m²]]),0))
))</f>
        <v>10.043768</v>
      </c>
      <c r="AV17" s="141">
        <f>IF(AV$2&gt;Input_Tidshorisont,BlankTegn,IF(AV$2=0,SUM(Materialedata[[#This Row],[A1-A3/m²]:[A4/m²]]),
AU17+IF(AV$2=Input_Tidshorisont,SUM(Materialedata[[#This Row],[C3/m²]:[C4/m²]]),IF(MOD(AV$2,Materialedata[[#This Row],[Levetid]])=0,SUM(Materialedata[[#This Row],[A1-A3/m²]:[C4/m²]]),0))
))</f>
        <v>10.043768</v>
      </c>
      <c r="AW17" s="141">
        <f>IF(AW$2&gt;Input_Tidshorisont,BlankTegn,IF(AW$2=0,SUM(Materialedata[[#This Row],[A1-A3/m²]:[A4/m²]]),
AV17+IF(AW$2=Input_Tidshorisont,SUM(Materialedata[[#This Row],[C3/m²]:[C4/m²]]),IF(MOD(AW$2,Materialedata[[#This Row],[Levetid]])=0,SUM(Materialedata[[#This Row],[A1-A3/m²]:[C4/m²]]),0))
))</f>
        <v>10.043768</v>
      </c>
      <c r="AX17" s="141">
        <f>IF(AX$2&gt;Input_Tidshorisont,BlankTegn,IF(AX$2=0,SUM(Materialedata[[#This Row],[A1-A3/m²]:[A4/m²]]),
AW17+IF(AX$2=Input_Tidshorisont,SUM(Materialedata[[#This Row],[C3/m²]:[C4/m²]]),IF(MOD(AX$2,Materialedata[[#This Row],[Levetid]])=0,SUM(Materialedata[[#This Row],[A1-A3/m²]:[C4/m²]]),0))
))</f>
        <v>10.043768</v>
      </c>
      <c r="AY17" s="141">
        <f>IF(AY$2&gt;Input_Tidshorisont,BlankTegn,IF(AY$2=0,SUM(Materialedata[[#This Row],[A1-A3/m²]:[A4/m²]]),
AX17+IF(AY$2=Input_Tidshorisont,SUM(Materialedata[[#This Row],[C3/m²]:[C4/m²]]),IF(MOD(AY$2,Materialedata[[#This Row],[Levetid]])=0,SUM(Materialedata[[#This Row],[A1-A3/m²]:[C4/m²]]),0))
))</f>
        <v>10.043768</v>
      </c>
      <c r="AZ17" s="141">
        <f>IF(AZ$2&gt;Input_Tidshorisont,BlankTegn,IF(AZ$2=0,SUM(Materialedata[[#This Row],[A1-A3/m²]:[A4/m²]]),
AY17+IF(AZ$2=Input_Tidshorisont,SUM(Materialedata[[#This Row],[C3/m²]:[C4/m²]]),IF(MOD(AZ$2,Materialedata[[#This Row],[Levetid]])=0,SUM(Materialedata[[#This Row],[A1-A3/m²]:[C4/m²]]),0))
))</f>
        <v>10.043768</v>
      </c>
      <c r="BA17" s="141">
        <f>IF(BA$2&gt;Input_Tidshorisont,BlankTegn,IF(BA$2=0,SUM(Materialedata[[#This Row],[A1-A3/m²]:[A4/m²]]),
AZ17+IF(BA$2=Input_Tidshorisont,SUM(Materialedata[[#This Row],[C3/m²]:[C4/m²]]),IF(MOD(BA$2,Materialedata[[#This Row],[Levetid]])=0,SUM(Materialedata[[#This Row],[A1-A3/m²]:[C4/m²]]),0))
))</f>
        <v>10.043768</v>
      </c>
      <c r="BB17" s="141">
        <f>IF(BB$2&gt;Input_Tidshorisont,BlankTegn,IF(BB$2=0,SUM(Materialedata[[#This Row],[A1-A3/m²]:[A4/m²]]),
BA17+IF(BB$2=Input_Tidshorisont,SUM(Materialedata[[#This Row],[C3/m²]:[C4/m²]]),IF(MOD(BB$2,Materialedata[[#This Row],[Levetid]])=0,SUM(Materialedata[[#This Row],[A1-A3/m²]:[C4/m²]]),0))
))</f>
        <v>10.043768</v>
      </c>
      <c r="BC17" s="141">
        <f>IF(BC$2&gt;Input_Tidshorisont,BlankTegn,IF(BC$2=0,SUM(Materialedata[[#This Row],[A1-A3/m²]:[A4/m²]]),
BB17+IF(BC$2=Input_Tidshorisont,SUM(Materialedata[[#This Row],[C3/m²]:[C4/m²]]),IF(MOD(BC$2,Materialedata[[#This Row],[Levetid]])=0,SUM(Materialedata[[#This Row],[A1-A3/m²]:[C4/m²]]),0))
))</f>
        <v>10.043768</v>
      </c>
      <c r="BD17" s="141">
        <f>IF(BD$2&gt;Input_Tidshorisont,BlankTegn,IF(BD$2=0,SUM(Materialedata[[#This Row],[A1-A3/m²]:[A4/m²]]),
BC17+IF(BD$2=Input_Tidshorisont,SUM(Materialedata[[#This Row],[C3/m²]:[C4/m²]]),IF(MOD(BD$2,Materialedata[[#This Row],[Levetid]])=0,SUM(Materialedata[[#This Row],[A1-A3/m²]:[C4/m²]]),0))
))</f>
        <v>10.043768</v>
      </c>
      <c r="BE17" s="141">
        <f>IF(BE$2&gt;Input_Tidshorisont,BlankTegn,IF(BE$2=0,SUM(Materialedata[[#This Row],[A1-A3/m²]:[A4/m²]]),
BD17+IF(BE$2=Input_Tidshorisont,SUM(Materialedata[[#This Row],[C3/m²]:[C4/m²]]),IF(MOD(BE$2,Materialedata[[#This Row],[Levetid]])=0,SUM(Materialedata[[#This Row],[A1-A3/m²]:[C4/m²]]),0))
))</f>
        <v>10.043768</v>
      </c>
      <c r="BF17" s="141">
        <f>IF(BF$2&gt;Input_Tidshorisont,BlankTegn,IF(BF$2=0,SUM(Materialedata[[#This Row],[A1-A3/m²]:[A4/m²]]),
BE17+IF(BF$2=Input_Tidshorisont,SUM(Materialedata[[#This Row],[C3/m²]:[C4/m²]]),IF(MOD(BF$2,Materialedata[[#This Row],[Levetid]])=0,SUM(Materialedata[[#This Row],[A1-A3/m²]:[C4/m²]]),0))
))</f>
        <v>10.043768</v>
      </c>
      <c r="BG17" s="141">
        <f>IF(BG$2&gt;Input_Tidshorisont,BlankTegn,IF(BG$2=0,SUM(Materialedata[[#This Row],[A1-A3/m²]:[A4/m²]]),
BF17+IF(BG$2=Input_Tidshorisont,SUM(Materialedata[[#This Row],[C3/m²]:[C4/m²]]),IF(MOD(BG$2,Materialedata[[#This Row],[Levetid]])=0,SUM(Materialedata[[#This Row],[A1-A3/m²]:[C4/m²]]),0))
))</f>
        <v>10.043768</v>
      </c>
      <c r="BH17" s="141">
        <f>IF(BH$2&gt;Input_Tidshorisont,BlankTegn,IF(BH$2=0,SUM(Materialedata[[#This Row],[A1-A3/m²]:[A4/m²]]),
BG17+IF(BH$2=Input_Tidshorisont,SUM(Materialedata[[#This Row],[C3/m²]:[C4/m²]]),IF(MOD(BH$2,Materialedata[[#This Row],[Levetid]])=0,SUM(Materialedata[[#This Row],[A1-A3/m²]:[C4/m²]]),0))
))</f>
        <v>10.043768</v>
      </c>
      <c r="BI17" s="141">
        <f>IF(BI$2&gt;Input_Tidshorisont,BlankTegn,IF(BI$2=0,SUM(Materialedata[[#This Row],[A1-A3/m²]:[A4/m²]]),
BH17+IF(BI$2=Input_Tidshorisont,SUM(Materialedata[[#This Row],[C3/m²]:[C4/m²]]),IF(MOD(BI$2,Materialedata[[#This Row],[Levetid]])=0,SUM(Materialedata[[#This Row],[A1-A3/m²]:[C4/m²]]),0))
))</f>
        <v>10.043768</v>
      </c>
      <c r="BJ17" s="141">
        <f>IF(BJ$2&gt;Input_Tidshorisont,BlankTegn,IF(BJ$2=0,SUM(Materialedata[[#This Row],[A1-A3/m²]:[A4/m²]]),
BI17+IF(BJ$2=Input_Tidshorisont,SUM(Materialedata[[#This Row],[C3/m²]:[C4/m²]]),IF(MOD(BJ$2,Materialedata[[#This Row],[Levetid]])=0,SUM(Materialedata[[#This Row],[A1-A3/m²]:[C4/m²]]),0))
))</f>
        <v>10.043768</v>
      </c>
      <c r="BK17" s="141">
        <f>IF(BK$2&gt;Input_Tidshorisont,BlankTegn,IF(BK$2=0,SUM(Materialedata[[#This Row],[A1-A3/m²]:[A4/m²]]),
BJ17+IF(BK$2=Input_Tidshorisont,SUM(Materialedata[[#This Row],[C3/m²]:[C4/m²]]),IF(MOD(BK$2,Materialedata[[#This Row],[Levetid]])=0,SUM(Materialedata[[#This Row],[A1-A3/m²]:[C4/m²]]),0))
))</f>
        <v>10.043768</v>
      </c>
      <c r="BL17" s="141">
        <f>IF(BL$2&gt;Input_Tidshorisont,BlankTegn,IF(BL$2=0,SUM(Materialedata[[#This Row],[A1-A3/m²]:[A4/m²]]),
BK17+IF(BL$2=Input_Tidshorisont,SUM(Materialedata[[#This Row],[C3/m²]:[C4/m²]]),IF(MOD(BL$2,Materialedata[[#This Row],[Levetid]])=0,SUM(Materialedata[[#This Row],[A1-A3/m²]:[C4/m²]]),0))
))</f>
        <v>10.043768</v>
      </c>
      <c r="BM17" s="141">
        <f>IF(BM$2&gt;Input_Tidshorisont,BlankTegn,IF(BM$2=0,SUM(Materialedata[[#This Row],[A1-A3/m²]:[A4/m²]]),
BL17+IF(BM$2=Input_Tidshorisont,SUM(Materialedata[[#This Row],[C3/m²]:[C4/m²]]),IF(MOD(BM$2,Materialedata[[#This Row],[Levetid]])=0,SUM(Materialedata[[#This Row],[A1-A3/m²]:[C4/m²]]),0))
))</f>
        <v>10.043768</v>
      </c>
      <c r="BN17" s="141">
        <f>IF(BN$2&gt;Input_Tidshorisont,BlankTegn,IF(BN$2=0,SUM(Materialedata[[#This Row],[A1-A3/m²]:[A4/m²]]),
BM17+IF(BN$2=Input_Tidshorisont,SUM(Materialedata[[#This Row],[C3/m²]:[C4/m²]]),IF(MOD(BN$2,Materialedata[[#This Row],[Levetid]])=0,SUM(Materialedata[[#This Row],[A1-A3/m²]:[C4/m²]]),0))
))</f>
        <v>10.043768</v>
      </c>
      <c r="BO17" s="141">
        <f>IF(BO$2&gt;Input_Tidshorisont,BlankTegn,IF(BO$2=0,SUM(Materialedata[[#This Row],[A1-A3/m²]:[A4/m²]]),
BN17+IF(BO$2=Input_Tidshorisont,SUM(Materialedata[[#This Row],[C3/m²]:[C4/m²]]),IF(MOD(BO$2,Materialedata[[#This Row],[Levetid]])=0,SUM(Materialedata[[#This Row],[A1-A3/m²]:[C4/m²]]),0))
))</f>
        <v>10.043768</v>
      </c>
      <c r="BP17" s="141">
        <f>IF(BP$2&gt;Input_Tidshorisont,BlankTegn,IF(BP$2=0,SUM(Materialedata[[#This Row],[A1-A3/m²]:[A4/m²]]),
BO17+IF(BP$2=Input_Tidshorisont,SUM(Materialedata[[#This Row],[C3/m²]:[C4/m²]]),IF(MOD(BP$2,Materialedata[[#This Row],[Levetid]])=0,SUM(Materialedata[[#This Row],[A1-A3/m²]:[C4/m²]]),0))
))</f>
        <v>10.043768</v>
      </c>
      <c r="BQ17" s="141">
        <f>IF(BQ$2&gt;Input_Tidshorisont,BlankTegn,IF(BQ$2=0,SUM(Materialedata[[#This Row],[A1-A3/m²]:[A4/m²]]),
BP17+IF(BQ$2=Input_Tidshorisont,SUM(Materialedata[[#This Row],[C3/m²]:[C4/m²]]),IF(MOD(BQ$2,Materialedata[[#This Row],[Levetid]])=0,SUM(Materialedata[[#This Row],[A1-A3/m²]:[C4/m²]]),0))
))</f>
        <v>10.043768</v>
      </c>
      <c r="BR17" s="141">
        <f>IF(BR$2&gt;Input_Tidshorisont,BlankTegn,IF(BR$2=0,SUM(Materialedata[[#This Row],[A1-A3/m²]:[A4/m²]]),
BQ17+IF(BR$2=Input_Tidshorisont,SUM(Materialedata[[#This Row],[C3/m²]:[C4/m²]]),IF(MOD(BR$2,Materialedata[[#This Row],[Levetid]])=0,SUM(Materialedata[[#This Row],[A1-A3/m²]:[C4/m²]]),0))
))</f>
        <v>10.043768</v>
      </c>
      <c r="BS17" s="141">
        <f>IF(BS$2&gt;Input_Tidshorisont,BlankTegn,IF(BS$2=0,SUM(Materialedata[[#This Row],[A1-A3/m²]:[A4/m²]]),
BR17+IF(BS$2=Input_Tidshorisont,SUM(Materialedata[[#This Row],[C3/m²]:[C4/m²]]),IF(MOD(BS$2,Materialedata[[#This Row],[Levetid]])=0,SUM(Materialedata[[#This Row],[A1-A3/m²]:[C4/m²]]),0))
))</f>
        <v>10.043768</v>
      </c>
      <c r="BT17" s="141">
        <f>IF(BT$2&gt;Input_Tidshorisont,BlankTegn,IF(BT$2=0,SUM(Materialedata[[#This Row],[A1-A3/m²]:[A4/m²]]),
BS17+IF(BT$2=Input_Tidshorisont,SUM(Materialedata[[#This Row],[C3/m²]:[C4/m²]]),IF(MOD(BT$2,Materialedata[[#This Row],[Levetid]])=0,SUM(Materialedata[[#This Row],[A1-A3/m²]:[C4/m²]]),0))
))</f>
        <v>10.043768</v>
      </c>
      <c r="BU17" s="141">
        <f>IF(BU$2&gt;Input_Tidshorisont,BlankTegn,IF(BU$2=0,SUM(Materialedata[[#This Row],[A1-A3/m²]:[A4/m²]]),
BT17+IF(BU$2=Input_Tidshorisont,SUM(Materialedata[[#This Row],[C3/m²]:[C4/m²]]),IF(MOD(BU$2,Materialedata[[#This Row],[Levetid]])=0,SUM(Materialedata[[#This Row],[A1-A3/m²]:[C4/m²]]),0))
))</f>
        <v>10.043768</v>
      </c>
      <c r="BV17" s="141">
        <f>IF(BV$2&gt;Input_Tidshorisont,BlankTegn,IF(BV$2=0,SUM(Materialedata[[#This Row],[A1-A3/m²]:[A4/m²]]),
BU17+IF(BV$2=Input_Tidshorisont,SUM(Materialedata[[#This Row],[C3/m²]:[C4/m²]]),IF(MOD(BV$2,Materialedata[[#This Row],[Levetid]])=0,SUM(Materialedata[[#This Row],[A1-A3/m²]:[C4/m²]]),0))
))</f>
        <v>10.043768</v>
      </c>
      <c r="BW17" s="141">
        <f>IF(BW$2&gt;Input_Tidshorisont,BlankTegn,IF(BW$2=0,SUM(Materialedata[[#This Row],[A1-A3/m²]:[A4/m²]]),
BV17+IF(BW$2=Input_Tidshorisont,SUM(Materialedata[[#This Row],[C3/m²]:[C4/m²]]),IF(MOD(BW$2,Materialedata[[#This Row],[Levetid]])=0,SUM(Materialedata[[#This Row],[A1-A3/m²]:[C4/m²]]),0))
))</f>
        <v>10.043768</v>
      </c>
      <c r="BX17" s="141">
        <f>IF(BX$2&gt;Input_Tidshorisont,BlankTegn,IF(BX$2=0,SUM(Materialedata[[#This Row],[A1-A3/m²]:[A4/m²]]),
BW17+IF(BX$2=Input_Tidshorisont,SUM(Materialedata[[#This Row],[C3/m²]:[C4/m²]]),IF(MOD(BX$2,Materialedata[[#This Row],[Levetid]])=0,SUM(Materialedata[[#This Row],[A1-A3/m²]:[C4/m²]]),0))
))</f>
        <v>10.043768</v>
      </c>
      <c r="BY17" s="141">
        <f>IF(BY$2&gt;Input_Tidshorisont,BlankTegn,IF(BY$2=0,SUM(Materialedata[[#This Row],[A1-A3/m²]:[A4/m²]]),
BX17+IF(BY$2=Input_Tidshorisont,SUM(Materialedata[[#This Row],[C3/m²]:[C4/m²]]),IF(MOD(BY$2,Materialedata[[#This Row],[Levetid]])=0,SUM(Materialedata[[#This Row],[A1-A3/m²]:[C4/m²]]),0))
))</f>
        <v>10.043768</v>
      </c>
      <c r="BZ17" s="141">
        <f>IF(BZ$2&gt;Input_Tidshorisont,BlankTegn,IF(BZ$2=0,SUM(Materialedata[[#This Row],[A1-A3/m²]:[A4/m²]]),
BY17+IF(BZ$2=Input_Tidshorisont,SUM(Materialedata[[#This Row],[C3/m²]:[C4/m²]]),IF(MOD(BZ$2,Materialedata[[#This Row],[Levetid]])=0,SUM(Materialedata[[#This Row],[A1-A3/m²]:[C4/m²]]),0))
))</f>
        <v>10.043768</v>
      </c>
      <c r="CA17" s="141">
        <f>IF(CA$2&gt;Input_Tidshorisont,BlankTegn,IF(CA$2=0,SUM(Materialedata[[#This Row],[A1-A3/m²]:[A4/m²]]),
BZ17+IF(CA$2=Input_Tidshorisont,SUM(Materialedata[[#This Row],[C3/m²]:[C4/m²]]),IF(MOD(CA$2,Materialedata[[#This Row],[Levetid]])=0,SUM(Materialedata[[#This Row],[A1-A3/m²]:[C4/m²]]),0))
))</f>
        <v>10.043768</v>
      </c>
      <c r="CB17" s="141">
        <f>IF(CB$2&gt;Input_Tidshorisont,BlankTegn,IF(CB$2=0,SUM(Materialedata[[#This Row],[A1-A3/m²]:[A4/m²]]),
CA17+IF(CB$2=Input_Tidshorisont,SUM(Materialedata[[#This Row],[C3/m²]:[C4/m²]]),IF(MOD(CB$2,Materialedata[[#This Row],[Levetid]])=0,SUM(Materialedata[[#This Row],[A1-A3/m²]:[C4/m²]]),0))
))</f>
        <v>10.043768</v>
      </c>
      <c r="CC17" s="141">
        <f>IF(CC$2&gt;Input_Tidshorisont,BlankTegn,IF(CC$2=0,SUM(Materialedata[[#This Row],[A1-A3/m²]:[A4/m²]]),
CB17+IF(CC$2=Input_Tidshorisont,SUM(Materialedata[[#This Row],[C3/m²]:[C4/m²]]),IF(MOD(CC$2,Materialedata[[#This Row],[Levetid]])=0,SUM(Materialedata[[#This Row],[A1-A3/m²]:[C4/m²]]),0))
))</f>
        <v>10.043768</v>
      </c>
      <c r="CD17" s="141">
        <f>IF(CD$2&gt;Input_Tidshorisont,BlankTegn,IF(CD$2=0,SUM(Materialedata[[#This Row],[A1-A3/m²]:[A4/m²]]),
CC17+IF(CD$2=Input_Tidshorisont,SUM(Materialedata[[#This Row],[C3/m²]:[C4/m²]]),IF(MOD(CD$2,Materialedata[[#This Row],[Levetid]])=0,SUM(Materialedata[[#This Row],[A1-A3/m²]:[C4/m²]]),0))
))</f>
        <v>10.043768</v>
      </c>
      <c r="CE17" s="141">
        <f>IF(CE$2&gt;Input_Tidshorisont,BlankTegn,IF(CE$2=0,SUM(Materialedata[[#This Row],[A1-A3/m²]:[A4/m²]]),
CD17+IF(CE$2=Input_Tidshorisont,SUM(Materialedata[[#This Row],[C3/m²]:[C4/m²]]),IF(MOD(CE$2,Materialedata[[#This Row],[Levetid]])=0,SUM(Materialedata[[#This Row],[A1-A3/m²]:[C4/m²]]),0))
))</f>
        <v>10.043768</v>
      </c>
      <c r="CF17" s="141">
        <f>IF(CF$2&gt;Input_Tidshorisont,BlankTegn,IF(CF$2=0,SUM(Materialedata[[#This Row],[A1-A3/m²]:[A4/m²]]),
CE17+IF(CF$2=Input_Tidshorisont,SUM(Materialedata[[#This Row],[C3/m²]:[C4/m²]]),IF(MOD(CF$2,Materialedata[[#This Row],[Levetid]])=0,SUM(Materialedata[[#This Row],[A1-A3/m²]:[C4/m²]]),0))
))</f>
        <v>10.043768</v>
      </c>
      <c r="CG17" s="141">
        <f>IF(CG$2&gt;Input_Tidshorisont,BlankTegn,IF(CG$2=0,SUM(Materialedata[[#This Row],[A1-A3/m²]:[A4/m²]]),
CF17+IF(CG$2=Input_Tidshorisont,SUM(Materialedata[[#This Row],[C3/m²]:[C4/m²]]),IF(MOD(CG$2,Materialedata[[#This Row],[Levetid]])=0,SUM(Materialedata[[#This Row],[A1-A3/m²]:[C4/m²]]),0))
))</f>
        <v>10.043768</v>
      </c>
      <c r="CH17" s="141">
        <f>IF(CH$2&gt;Input_Tidshorisont,BlankTegn,IF(CH$2=0,SUM(Materialedata[[#This Row],[A1-A3/m²]:[A4/m²]]),
CG17+IF(CH$2=Input_Tidshorisont,SUM(Materialedata[[#This Row],[C3/m²]:[C4/m²]]),IF(MOD(CH$2,Materialedata[[#This Row],[Levetid]])=0,SUM(Materialedata[[#This Row],[A1-A3/m²]:[C4/m²]]),0))
))</f>
        <v>10.05642068</v>
      </c>
      <c r="CI17" s="141" t="str">
        <f>IF(CI$2&gt;Input_Tidshorisont,BlankTegn,IF(CI$2=0,SUM(Materialedata[[#This Row],[A1-A3/m²]:[A4/m²]]),
CH17+IF(CI$2=Input_Tidshorisont,SUM(Materialedata[[#This Row],[C3/m²]:[C4/m²]]),IF(MOD(CI$2,Materialedata[[#This Row],[Levetid]])=0,SUM(Materialedata[[#This Row],[A1-A3/m²]:[C4/m²]]),0))
))</f>
        <v>.</v>
      </c>
      <c r="CJ17" s="141" t="str">
        <f>IF(CJ$2&gt;Input_Tidshorisont,BlankTegn,IF(CJ$2=0,SUM(Materialedata[[#This Row],[A1-A3/m²]:[A4/m²]]),
CI17+IF(CJ$2=Input_Tidshorisont,SUM(Materialedata[[#This Row],[C3/m²]:[C4/m²]]),IF(MOD(CJ$2,Materialedata[[#This Row],[Levetid]])=0,SUM(Materialedata[[#This Row],[A1-A3/m²]:[C4/m²]]),0))
))</f>
        <v>.</v>
      </c>
      <c r="CK17" s="141" t="str">
        <f>IF(CK$2&gt;Input_Tidshorisont,BlankTegn,IF(CK$2=0,SUM(Materialedata[[#This Row],[A1-A3/m²]:[A4/m²]]),
CJ17+IF(CK$2=Input_Tidshorisont,SUM(Materialedata[[#This Row],[C3/m²]:[C4/m²]]),IF(MOD(CK$2,Materialedata[[#This Row],[Levetid]])=0,SUM(Materialedata[[#This Row],[A1-A3/m²]:[C4/m²]]),0))
))</f>
        <v>.</v>
      </c>
      <c r="CL17" s="141" t="str">
        <f>IF(CL$2&gt;Input_Tidshorisont,BlankTegn,IF(CL$2=0,SUM(Materialedata[[#This Row],[A1-A3/m²]:[A4/m²]]),
CK17+IF(CL$2=Input_Tidshorisont,SUM(Materialedata[[#This Row],[C3/m²]:[C4/m²]]),IF(MOD(CL$2,Materialedata[[#This Row],[Levetid]])=0,SUM(Materialedata[[#This Row],[A1-A3/m²]:[C4/m²]]),0))
))</f>
        <v>.</v>
      </c>
      <c r="CM17" s="141" t="str">
        <f>IF(CM$2&gt;Input_Tidshorisont,BlankTegn,IF(CM$2=0,SUM(Materialedata[[#This Row],[A1-A3/m²]:[A4/m²]]),
CL17+IF(CM$2=Input_Tidshorisont,SUM(Materialedata[[#This Row],[C3/m²]:[C4/m²]]),IF(MOD(CM$2,Materialedata[[#This Row],[Levetid]])=0,SUM(Materialedata[[#This Row],[A1-A3/m²]:[C4/m²]]),0))
))</f>
        <v>.</v>
      </c>
      <c r="CN17" s="141" t="str">
        <f>IF(CN$2&gt;Input_Tidshorisont,BlankTegn,IF(CN$2=0,SUM(Materialedata[[#This Row],[A1-A3/m²]:[A4/m²]]),
CM17+IF(CN$2=Input_Tidshorisont,SUM(Materialedata[[#This Row],[C3/m²]:[C4/m²]]),IF(MOD(CN$2,Materialedata[[#This Row],[Levetid]])=0,SUM(Materialedata[[#This Row],[A1-A3/m²]:[C4/m²]]),0))
))</f>
        <v>.</v>
      </c>
      <c r="CO17" s="141" t="str">
        <f>IF(CO$2&gt;Input_Tidshorisont,BlankTegn,IF(CO$2=0,SUM(Materialedata[[#This Row],[A1-A3/m²]:[A4/m²]]),
CN17+IF(CO$2=Input_Tidshorisont,SUM(Materialedata[[#This Row],[C3/m²]:[C4/m²]]),IF(MOD(CO$2,Materialedata[[#This Row],[Levetid]])=0,SUM(Materialedata[[#This Row],[A1-A3/m²]:[C4/m²]]),0))
))</f>
        <v>.</v>
      </c>
      <c r="CP17" s="141" t="str">
        <f>IF(CP$2&gt;Input_Tidshorisont,BlankTegn,IF(CP$2=0,SUM(Materialedata[[#This Row],[A1-A3/m²]:[A4/m²]]),
CO17+IF(CP$2=Input_Tidshorisont,SUM(Materialedata[[#This Row],[C3/m²]:[C4/m²]]),IF(MOD(CP$2,Materialedata[[#This Row],[Levetid]])=0,SUM(Materialedata[[#This Row],[A1-A3/m²]:[C4/m²]]),0))
))</f>
        <v>.</v>
      </c>
      <c r="CQ17" s="141" t="str">
        <f>IF(CQ$2&gt;Input_Tidshorisont,BlankTegn,IF(CQ$2=0,SUM(Materialedata[[#This Row],[A1-A3/m²]:[A4/m²]]),
CP17+IF(CQ$2=Input_Tidshorisont,SUM(Materialedata[[#This Row],[C3/m²]:[C4/m²]]),IF(MOD(CQ$2,Materialedata[[#This Row],[Levetid]])=0,SUM(Materialedata[[#This Row],[A1-A3/m²]:[C4/m²]]),0))
))</f>
        <v>.</v>
      </c>
      <c r="CR17" s="141" t="str">
        <f>IF(CR$2&gt;Input_Tidshorisont,BlankTegn,IF(CR$2=0,SUM(Materialedata[[#This Row],[A1-A3/m²]:[A4/m²]]),
CQ17+IF(CR$2=Input_Tidshorisont,SUM(Materialedata[[#This Row],[C3/m²]:[C4/m²]]),IF(MOD(CR$2,Materialedata[[#This Row],[Levetid]])=0,SUM(Materialedata[[#This Row],[A1-A3/m²]:[C4/m²]]),0))
))</f>
        <v>.</v>
      </c>
      <c r="CS17" s="141" t="str">
        <f>IF(CS$2&gt;Input_Tidshorisont,BlankTegn,IF(CS$2=0,SUM(Materialedata[[#This Row],[A1-A3/m²]:[A4/m²]]),
CR17+IF(CS$2=Input_Tidshorisont,SUM(Materialedata[[#This Row],[C3/m²]:[C4/m²]]),IF(MOD(CS$2,Materialedata[[#This Row],[Levetid]])=0,SUM(Materialedata[[#This Row],[A1-A3/m²]:[C4/m²]]),0))
))</f>
        <v>.</v>
      </c>
      <c r="CT17" s="141" t="str">
        <f>IF(CT$2&gt;Input_Tidshorisont,BlankTegn,IF(CT$2=0,SUM(Materialedata[[#This Row],[A1-A3/m²]:[A4/m²]]),
CS17+IF(CT$2=Input_Tidshorisont,SUM(Materialedata[[#This Row],[C3/m²]:[C4/m²]]),IF(MOD(CT$2,Materialedata[[#This Row],[Levetid]])=0,SUM(Materialedata[[#This Row],[A1-A3/m²]:[C4/m²]]),0))
))</f>
        <v>.</v>
      </c>
      <c r="CU17" s="141" t="str">
        <f>IF(CU$2&gt;Input_Tidshorisont,BlankTegn,IF(CU$2=0,SUM(Materialedata[[#This Row],[A1-A3/m²]:[A4/m²]]),
CT17+IF(CU$2=Input_Tidshorisont,SUM(Materialedata[[#This Row],[C3/m²]:[C4/m²]]),IF(MOD(CU$2,Materialedata[[#This Row],[Levetid]])=0,SUM(Materialedata[[#This Row],[A1-A3/m²]:[C4/m²]]),0))
))</f>
        <v>.</v>
      </c>
      <c r="CV17" s="141" t="str">
        <f>IF(CV$2&gt;Input_Tidshorisont,BlankTegn,IF(CV$2=0,SUM(Materialedata[[#This Row],[A1-A3/m²]:[A4/m²]]),
CU17+IF(CV$2=Input_Tidshorisont,SUM(Materialedata[[#This Row],[C3/m²]:[C4/m²]]),IF(MOD(CV$2,Materialedata[[#This Row],[Levetid]])=0,SUM(Materialedata[[#This Row],[A1-A3/m²]:[C4/m²]]),0))
))</f>
        <v>.</v>
      </c>
      <c r="CW17" s="141" t="str">
        <f>IF(CW$2&gt;Input_Tidshorisont,BlankTegn,IF(CW$2=0,SUM(Materialedata[[#This Row],[A1-A3/m²]:[A4/m²]]),
CV17+IF(CW$2=Input_Tidshorisont,SUM(Materialedata[[#This Row],[C3/m²]:[C4/m²]]),IF(MOD(CW$2,Materialedata[[#This Row],[Levetid]])=0,SUM(Materialedata[[#This Row],[A1-A3/m²]:[C4/m²]]),0))
))</f>
        <v>.</v>
      </c>
      <c r="CX17" s="141" t="str">
        <f>IF(CX$2&gt;Input_Tidshorisont,BlankTegn,IF(CX$2=0,SUM(Materialedata[[#This Row],[A1-A3/m²]:[A4/m²]]),
CW17+IF(CX$2=Input_Tidshorisont,SUM(Materialedata[[#This Row],[C3/m²]:[C4/m²]]),IF(MOD(CX$2,Materialedata[[#This Row],[Levetid]])=0,SUM(Materialedata[[#This Row],[A1-A3/m²]:[C4/m²]]),0))
))</f>
        <v>.</v>
      </c>
      <c r="CY17" s="141" t="str">
        <f>IF(CY$2&gt;Input_Tidshorisont,BlankTegn,IF(CY$2=0,SUM(Materialedata[[#This Row],[A1-A3/m²]:[A4/m²]]),
CX17+IF(CY$2=Input_Tidshorisont,SUM(Materialedata[[#This Row],[C3/m²]:[C4/m²]]),IF(MOD(CY$2,Materialedata[[#This Row],[Levetid]])=0,SUM(Materialedata[[#This Row],[A1-A3/m²]:[C4/m²]]),0))
))</f>
        <v>.</v>
      </c>
      <c r="CZ17" s="141" t="str">
        <f>IF(CZ$2&gt;Input_Tidshorisont,BlankTegn,IF(CZ$2=0,SUM(Materialedata[[#This Row],[A1-A3/m²]:[A4/m²]]),
CY17+IF(CZ$2=Input_Tidshorisont,SUM(Materialedata[[#This Row],[C3/m²]:[C4/m²]]),IF(MOD(CZ$2,Materialedata[[#This Row],[Levetid]])=0,SUM(Materialedata[[#This Row],[A1-A3/m²]:[C4/m²]]),0))
))</f>
        <v>.</v>
      </c>
      <c r="DA17" s="141" t="str">
        <f>IF(DA$2&gt;Input_Tidshorisont,BlankTegn,IF(DA$2=0,SUM(Materialedata[[#This Row],[A1-A3/m²]:[A4/m²]]),
CZ17+IF(DA$2=Input_Tidshorisont,SUM(Materialedata[[#This Row],[C3/m²]:[C4/m²]]),IF(MOD(DA$2,Materialedata[[#This Row],[Levetid]])=0,SUM(Materialedata[[#This Row],[A1-A3/m²]:[C4/m²]]),0))
))</f>
        <v>.</v>
      </c>
      <c r="DB17" s="141" t="str">
        <f>IF(DB$2&gt;Input_Tidshorisont,BlankTegn,IF(DB$2=0,SUM(Materialedata[[#This Row],[A1-A3/m²]:[A4/m²]]),
DA17+IF(DB$2=Input_Tidshorisont,SUM(Materialedata[[#This Row],[C3/m²]:[C4/m²]]),IF(MOD(DB$2,Materialedata[[#This Row],[Levetid]])=0,SUM(Materialedata[[#This Row],[A1-A3/m²]:[C4/m²]]),0))
))</f>
        <v>.</v>
      </c>
      <c r="DC17" s="141" t="str">
        <f>IF(DC$2&gt;Input_Tidshorisont,BlankTegn,IF(DC$2=0,SUM(Materialedata[[#This Row],[A1-A3/m²]:[A4/m²]]),
DB17+IF(DC$2=Input_Tidshorisont,SUM(Materialedata[[#This Row],[C3/m²]:[C4/m²]]),IF(MOD(DC$2,Materialedata[[#This Row],[Levetid]])=0,SUM(Materialedata[[#This Row],[A1-A3/m²]:[C4/m²]]),0))
))</f>
        <v>.</v>
      </c>
      <c r="DD17" s="141" t="str">
        <f>IF(DD$2&gt;Input_Tidshorisont,BlankTegn,IF(DD$2=0,SUM(Materialedata[[#This Row],[A1-A3/m²]:[A4/m²]]),
DC17+IF(DD$2=Input_Tidshorisont,SUM(Materialedata[[#This Row],[C3/m²]:[C4/m²]]),IF(MOD(DD$2,Materialedata[[#This Row],[Levetid]])=0,SUM(Materialedata[[#This Row],[A1-A3/m²]:[C4/m²]]),0))
))</f>
        <v>.</v>
      </c>
      <c r="DE17" s="141" t="str">
        <f>IF(DE$2&gt;Input_Tidshorisont,BlankTegn,IF(DE$2=0,SUM(Materialedata[[#This Row],[A1-A3/m²]:[A4/m²]]),
DD17+IF(DE$2=Input_Tidshorisont,SUM(Materialedata[[#This Row],[C3/m²]:[C4/m²]]),IF(MOD(DE$2,Materialedata[[#This Row],[Levetid]])=0,SUM(Materialedata[[#This Row],[A1-A3/m²]:[C4/m²]]),0))
))</f>
        <v>.</v>
      </c>
      <c r="DF17" s="141" t="str">
        <f>IF(DF$2&gt;Input_Tidshorisont,BlankTegn,IF(DF$2=0,SUM(Materialedata[[#This Row],[A1-A3/m²]:[A4/m²]]),
DE17+IF(DF$2=Input_Tidshorisont,SUM(Materialedata[[#This Row],[C3/m²]:[C4/m²]]),IF(MOD(DF$2,Materialedata[[#This Row],[Levetid]])=0,SUM(Materialedata[[#This Row],[A1-A3/m²]:[C4/m²]]),0))
))</f>
        <v>.</v>
      </c>
      <c r="DG17" s="141" t="str">
        <f>IF(DG$2&gt;Input_Tidshorisont,BlankTegn,IF(DG$2=0,SUM(Materialedata[[#This Row],[A1-A3/m²]:[A4/m²]]),
DF17+IF(DG$2=Input_Tidshorisont,SUM(Materialedata[[#This Row],[C3/m²]:[C4/m²]]),IF(MOD(DG$2,Materialedata[[#This Row],[Levetid]])=0,SUM(Materialedata[[#This Row],[A1-A3/m²]:[C4/m²]]),0))
))</f>
        <v>.</v>
      </c>
      <c r="DH17" s="141" t="str">
        <f>IF(DH$2&gt;Input_Tidshorisont,BlankTegn,IF(DH$2=0,SUM(Materialedata[[#This Row],[A1-A3/m²]:[A4/m²]]),
DG17+IF(DH$2=Input_Tidshorisont,SUM(Materialedata[[#This Row],[C3/m²]:[C4/m²]]),IF(MOD(DH$2,Materialedata[[#This Row],[Levetid]])=0,SUM(Materialedata[[#This Row],[A1-A3/m²]:[C4/m²]]),0))
))</f>
        <v>.</v>
      </c>
      <c r="DI17" s="141" t="str">
        <f>IF(DI$2&gt;Input_Tidshorisont,BlankTegn,IF(DI$2=0,SUM(Materialedata[[#This Row],[A1-A3/m²]:[A4/m²]]),
DH17+IF(DI$2=Input_Tidshorisont,SUM(Materialedata[[#This Row],[C3/m²]:[C4/m²]]),IF(MOD(DI$2,Materialedata[[#This Row],[Levetid]])=0,SUM(Materialedata[[#This Row],[A1-A3/m²]:[C4/m²]]),0))
))</f>
        <v>.</v>
      </c>
      <c r="DJ17" s="141" t="str">
        <f>IF(DJ$2&gt;Input_Tidshorisont,BlankTegn,IF(DJ$2=0,SUM(Materialedata[[#This Row],[A1-A3/m²]:[A4/m²]]),
DI17+IF(DJ$2=Input_Tidshorisont,SUM(Materialedata[[#This Row],[C3/m²]:[C4/m²]]),IF(MOD(DJ$2,Materialedata[[#This Row],[Levetid]])=0,SUM(Materialedata[[#This Row],[A1-A3/m²]:[C4/m²]]),0))
))</f>
        <v>.</v>
      </c>
      <c r="DK17" s="141" t="str">
        <f>IF(DK$2&gt;Input_Tidshorisont,BlankTegn,IF(DK$2=0,SUM(Materialedata[[#This Row],[A1-A3/m²]:[A4/m²]]),
DJ17+IF(DK$2=Input_Tidshorisont,SUM(Materialedata[[#This Row],[C3/m²]:[C4/m²]]),IF(MOD(DK$2,Materialedata[[#This Row],[Levetid]])=0,SUM(Materialedata[[#This Row],[A1-A3/m²]:[C4/m²]]),0))
))</f>
        <v>.</v>
      </c>
      <c r="DL17" s="141" t="str">
        <f>IF(DL$2&gt;Input_Tidshorisont,BlankTegn,IF(DL$2=0,SUM(Materialedata[[#This Row],[A1-A3/m²]:[A4/m²]]),
DK17+IF(DL$2=Input_Tidshorisont,SUM(Materialedata[[#This Row],[C3/m²]:[C4/m²]]),IF(MOD(DL$2,Materialedata[[#This Row],[Levetid]])=0,SUM(Materialedata[[#This Row],[A1-A3/m²]:[C4/m²]]),0))
))</f>
        <v>.</v>
      </c>
      <c r="DM17" s="19"/>
    </row>
    <row r="18" spans="1:117">
      <c r="A18" s="182" t="s">
        <v>42</v>
      </c>
      <c r="B18" s="182" t="s">
        <v>152</v>
      </c>
      <c r="C18" s="148" t="s">
        <v>151</v>
      </c>
      <c r="D18" s="180" t="s">
        <v>276</v>
      </c>
      <c r="E18" s="180" t="s">
        <v>276</v>
      </c>
      <c r="F18" s="182" t="s">
        <v>134</v>
      </c>
      <c r="G18" s="182">
        <v>100</v>
      </c>
      <c r="H18" s="183">
        <v>2720</v>
      </c>
      <c r="I18" s="195">
        <f>((0.97*4)/1.2)*1.1</f>
        <v>3.5566666666666671</v>
      </c>
      <c r="J18" s="184" t="s">
        <v>101</v>
      </c>
      <c r="K18" s="182">
        <f t="shared" ref="K18:K19" si="4">2580/1000</f>
        <v>2.58</v>
      </c>
      <c r="L18" s="182" t="s">
        <v>41</v>
      </c>
      <c r="M18" s="185">
        <f>IF(ISBLANK(Materialedata[[#This Row],[A4-gruppe]]),BlankTegn,INDEX(Byggeproces[GWP],MATCH(Materialedata[[#This Row],[A4-gruppe]],Byggeproces[Gruppe/Undergruppe],0)))</f>
        <v>8.6E-3</v>
      </c>
      <c r="N18" s="182">
        <f t="shared" ref="N18:N19" si="5">2.56/1000</f>
        <v>2.5600000000000002E-3</v>
      </c>
      <c r="O18" s="182">
        <f t="shared" ref="O18:O19" si="6">0.701/1000</f>
        <v>7.0099999999999991E-4</v>
      </c>
      <c r="P18" s="182">
        <f t="shared" ref="P18:P19" si="7">-1.5/1000</f>
        <v>-1.5E-3</v>
      </c>
      <c r="Q18" s="277">
        <f>Materialedata[[#This Row],[A1-A3/standardenhed]]*Materialedata[[#This Row],[Mængde/m²]]</f>
        <v>9.1762000000000015</v>
      </c>
      <c r="R18" s="278" cm="1">
        <f t="array" ref="R18">IFERROR(_xlfn.IFS(Materialedata[[#This Row],[Mængde-enhed]]="kg/m²",Materialedata[[#This Row],[A4/kg]]*Materialedata[[#This Row],[Mængde/m²]],Materialedata[[#This Row],[Mængde-enhed]]="m³/m²",Materialedata[[#This Row],[A4/kg]]*Materialedata[[#This Row],[Mængde/m²]]*Materialedata[[#This Row],[Densitet]]),"N/A")</f>
        <v>3.0587333333333338E-2</v>
      </c>
      <c r="S18" s="277">
        <f>Materialedata[[#This Row],[C3/enhed]]*Materialedata[[#This Row],[Mængde/m²]]</f>
        <v>9.1050666666666683E-3</v>
      </c>
      <c r="T18" s="277">
        <f>Materialedata[[#This Row],[C4/enhed]]*Materialedata[[#This Row],[Mængde/m²]]</f>
        <v>2.4932233333333333E-3</v>
      </c>
      <c r="U18" s="277">
        <f>Materialedata[[#This Row],[D/enhed]]*Materialedata[[#This Row],[Mængde/m²]]</f>
        <v>-5.3350000000000003E-3</v>
      </c>
      <c r="V18" s="150">
        <f>IFERROR(INDEX(Range_Materiale_Genbrug,MATCH(Materialedata[[#This Row],[Komponent]],Facadekomponenter,0)),BlankTegn)</f>
        <v>0</v>
      </c>
      <c r="W18" s="150">
        <f>IFERROR(1-Materialedata[[#This Row],[Genbrug]],BlankTegn)</f>
        <v>1</v>
      </c>
      <c r="X18" s="186">
        <f>IFERROR(Materialedata[[#This Row],[A1-A3/m²_nyt]]*Materialedata[[#This Row],[Nyt]],BlankTegn)</f>
        <v>9.1762000000000015</v>
      </c>
      <c r="Y18" s="186">
        <f>Materialedata[[#This Row],[A4/m²_nyt]]</f>
        <v>3.0587333333333338E-2</v>
      </c>
      <c r="Z18" s="186">
        <f>IFERROR(Materialedata[[#This Row],[C3/m²_nyt]]*Materialedata[[#This Row],[Nyt]],BlankTegn)</f>
        <v>9.1050666666666683E-3</v>
      </c>
      <c r="AA18" s="186">
        <f>IFERROR(Materialedata[[#This Row],[C4/m²_nyt]]*Materialedata[[#This Row],[Nyt]],BlankTegn)</f>
        <v>2.4932233333333333E-3</v>
      </c>
      <c r="AB18" s="186">
        <f>IFERROR(Materialedata[[#This Row],[D/m²_nyt]]*Materialedata[[#This Row],[Nyt]],BlankTegn)</f>
        <v>-5.3350000000000003E-3</v>
      </c>
      <c r="AC18" s="187">
        <f>AC17</f>
        <v>58.955447623503893</v>
      </c>
      <c r="AD18" s="188" t="s">
        <v>134</v>
      </c>
      <c r="AE18" s="391">
        <f>1*Materialedata[[#This Row],[Mængde/m²]]</f>
        <v>3.5566666666666671</v>
      </c>
      <c r="AF18" s="189">
        <f>Materialedata[[#This Row],[Pris/enhed]]*Materialedata[[#This Row],[Omregning]]</f>
        <v>209.68487538092887</v>
      </c>
      <c r="AG18" s="190">
        <v>0.03</v>
      </c>
      <c r="AH18" s="191">
        <v>1</v>
      </c>
      <c r="AI18" s="162">
        <v>0</v>
      </c>
      <c r="AJ18" s="141">
        <f>IF(AJ$2&gt;Input_Tidshorisont,BlankTegn,IF(AJ$2=0,SUM(Materialedata[[#This Row],[A1-A3/m²]:[A4/m²]]),
AI18+IF(AJ$2=Input_Tidshorisont,SUM(Materialedata[[#This Row],[C3/m²]:[C4/m²]]),IF(MOD(AJ$2,Materialedata[[#This Row],[Levetid]])=0,SUM(Materialedata[[#This Row],[A1-A3/m²]:[C4/m²]]),0))
))</f>
        <v>9.2067873333333345</v>
      </c>
      <c r="AK18" s="141">
        <f>IF(AK$2&gt;Input_Tidshorisont,BlankTegn,IF(AK$2=0,SUM(Materialedata[[#This Row],[A1-A3/m²]:[A4/m²]]),
AJ18+IF(AK$2=Input_Tidshorisont,SUM(Materialedata[[#This Row],[C3/m²]:[C4/m²]]),IF(MOD(AK$2,Materialedata[[#This Row],[Levetid]])=0,SUM(Materialedata[[#This Row],[A1-A3/m²]:[C4/m²]]),0))
))</f>
        <v>9.2067873333333345</v>
      </c>
      <c r="AL18" s="141">
        <f>IF(AL$2&gt;Input_Tidshorisont,BlankTegn,IF(AL$2=0,SUM(Materialedata[[#This Row],[A1-A3/m²]:[A4/m²]]),
AK18+IF(AL$2=Input_Tidshorisont,SUM(Materialedata[[#This Row],[C3/m²]:[C4/m²]]),IF(MOD(AL$2,Materialedata[[#This Row],[Levetid]])=0,SUM(Materialedata[[#This Row],[A1-A3/m²]:[C4/m²]]),0))
))</f>
        <v>9.2067873333333345</v>
      </c>
      <c r="AM18" s="141">
        <f>IF(AM$2&gt;Input_Tidshorisont,BlankTegn,IF(AM$2=0,SUM(Materialedata[[#This Row],[A1-A3/m²]:[A4/m²]]),
AL18+IF(AM$2=Input_Tidshorisont,SUM(Materialedata[[#This Row],[C3/m²]:[C4/m²]]),IF(MOD(AM$2,Materialedata[[#This Row],[Levetid]])=0,SUM(Materialedata[[#This Row],[A1-A3/m²]:[C4/m²]]),0))
))</f>
        <v>9.2067873333333345</v>
      </c>
      <c r="AN18" s="141">
        <f>IF(AN$2&gt;Input_Tidshorisont,BlankTegn,IF(AN$2=0,SUM(Materialedata[[#This Row],[A1-A3/m²]:[A4/m²]]),
AM18+IF(AN$2=Input_Tidshorisont,SUM(Materialedata[[#This Row],[C3/m²]:[C4/m²]]),IF(MOD(AN$2,Materialedata[[#This Row],[Levetid]])=0,SUM(Materialedata[[#This Row],[A1-A3/m²]:[C4/m²]]),0))
))</f>
        <v>9.2067873333333345</v>
      </c>
      <c r="AO18" s="141">
        <f>IF(AO$2&gt;Input_Tidshorisont,BlankTegn,IF(AO$2=0,SUM(Materialedata[[#This Row],[A1-A3/m²]:[A4/m²]]),
AN18+IF(AO$2=Input_Tidshorisont,SUM(Materialedata[[#This Row],[C3/m²]:[C4/m²]]),IF(MOD(AO$2,Materialedata[[#This Row],[Levetid]])=0,SUM(Materialedata[[#This Row],[A1-A3/m²]:[C4/m²]]),0))
))</f>
        <v>9.2067873333333345</v>
      </c>
      <c r="AP18" s="141">
        <f>IF(AP$2&gt;Input_Tidshorisont,BlankTegn,IF(AP$2=0,SUM(Materialedata[[#This Row],[A1-A3/m²]:[A4/m²]]),
AO18+IF(AP$2=Input_Tidshorisont,SUM(Materialedata[[#This Row],[C3/m²]:[C4/m²]]),IF(MOD(AP$2,Materialedata[[#This Row],[Levetid]])=0,SUM(Materialedata[[#This Row],[A1-A3/m²]:[C4/m²]]),0))
))</f>
        <v>9.2067873333333345</v>
      </c>
      <c r="AQ18" s="141">
        <f>IF(AQ$2&gt;Input_Tidshorisont,BlankTegn,IF(AQ$2=0,SUM(Materialedata[[#This Row],[A1-A3/m²]:[A4/m²]]),
AP18+IF(AQ$2=Input_Tidshorisont,SUM(Materialedata[[#This Row],[C3/m²]:[C4/m²]]),IF(MOD(AQ$2,Materialedata[[#This Row],[Levetid]])=0,SUM(Materialedata[[#This Row],[A1-A3/m²]:[C4/m²]]),0))
))</f>
        <v>9.2067873333333345</v>
      </c>
      <c r="AR18" s="141">
        <f>IF(AR$2&gt;Input_Tidshorisont,BlankTegn,IF(AR$2=0,SUM(Materialedata[[#This Row],[A1-A3/m²]:[A4/m²]]),
AQ18+IF(AR$2=Input_Tidshorisont,SUM(Materialedata[[#This Row],[C3/m²]:[C4/m²]]),IF(MOD(AR$2,Materialedata[[#This Row],[Levetid]])=0,SUM(Materialedata[[#This Row],[A1-A3/m²]:[C4/m²]]),0))
))</f>
        <v>9.2067873333333345</v>
      </c>
      <c r="AS18" s="141">
        <f>IF(AS$2&gt;Input_Tidshorisont,BlankTegn,IF(AS$2=0,SUM(Materialedata[[#This Row],[A1-A3/m²]:[A4/m²]]),
AR18+IF(AS$2=Input_Tidshorisont,SUM(Materialedata[[#This Row],[C3/m²]:[C4/m²]]),IF(MOD(AS$2,Materialedata[[#This Row],[Levetid]])=0,SUM(Materialedata[[#This Row],[A1-A3/m²]:[C4/m²]]),0))
))</f>
        <v>9.2067873333333345</v>
      </c>
      <c r="AT18" s="141">
        <f>IF(AT$2&gt;Input_Tidshorisont,BlankTegn,IF(AT$2=0,SUM(Materialedata[[#This Row],[A1-A3/m²]:[A4/m²]]),
AS18+IF(AT$2=Input_Tidshorisont,SUM(Materialedata[[#This Row],[C3/m²]:[C4/m²]]),IF(MOD(AT$2,Materialedata[[#This Row],[Levetid]])=0,SUM(Materialedata[[#This Row],[A1-A3/m²]:[C4/m²]]),0))
))</f>
        <v>9.2067873333333345</v>
      </c>
      <c r="AU18" s="141">
        <f>IF(AU$2&gt;Input_Tidshorisont,BlankTegn,IF(AU$2=0,SUM(Materialedata[[#This Row],[A1-A3/m²]:[A4/m²]]),
AT18+IF(AU$2=Input_Tidshorisont,SUM(Materialedata[[#This Row],[C3/m²]:[C4/m²]]),IF(MOD(AU$2,Materialedata[[#This Row],[Levetid]])=0,SUM(Materialedata[[#This Row],[A1-A3/m²]:[C4/m²]]),0))
))</f>
        <v>9.2067873333333345</v>
      </c>
      <c r="AV18" s="141">
        <f>IF(AV$2&gt;Input_Tidshorisont,BlankTegn,IF(AV$2=0,SUM(Materialedata[[#This Row],[A1-A3/m²]:[A4/m²]]),
AU18+IF(AV$2=Input_Tidshorisont,SUM(Materialedata[[#This Row],[C3/m²]:[C4/m²]]),IF(MOD(AV$2,Materialedata[[#This Row],[Levetid]])=0,SUM(Materialedata[[#This Row],[A1-A3/m²]:[C4/m²]]),0))
))</f>
        <v>9.2067873333333345</v>
      </c>
      <c r="AW18" s="141">
        <f>IF(AW$2&gt;Input_Tidshorisont,BlankTegn,IF(AW$2=0,SUM(Materialedata[[#This Row],[A1-A3/m²]:[A4/m²]]),
AV18+IF(AW$2=Input_Tidshorisont,SUM(Materialedata[[#This Row],[C3/m²]:[C4/m²]]),IF(MOD(AW$2,Materialedata[[#This Row],[Levetid]])=0,SUM(Materialedata[[#This Row],[A1-A3/m²]:[C4/m²]]),0))
))</f>
        <v>9.2067873333333345</v>
      </c>
      <c r="AX18" s="141">
        <f>IF(AX$2&gt;Input_Tidshorisont,BlankTegn,IF(AX$2=0,SUM(Materialedata[[#This Row],[A1-A3/m²]:[A4/m²]]),
AW18+IF(AX$2=Input_Tidshorisont,SUM(Materialedata[[#This Row],[C3/m²]:[C4/m²]]),IF(MOD(AX$2,Materialedata[[#This Row],[Levetid]])=0,SUM(Materialedata[[#This Row],[A1-A3/m²]:[C4/m²]]),0))
))</f>
        <v>9.2067873333333345</v>
      </c>
      <c r="AY18" s="141">
        <f>IF(AY$2&gt;Input_Tidshorisont,BlankTegn,IF(AY$2=0,SUM(Materialedata[[#This Row],[A1-A3/m²]:[A4/m²]]),
AX18+IF(AY$2=Input_Tidshorisont,SUM(Materialedata[[#This Row],[C3/m²]:[C4/m²]]),IF(MOD(AY$2,Materialedata[[#This Row],[Levetid]])=0,SUM(Materialedata[[#This Row],[A1-A3/m²]:[C4/m²]]),0))
))</f>
        <v>9.2067873333333345</v>
      </c>
      <c r="AZ18" s="141">
        <f>IF(AZ$2&gt;Input_Tidshorisont,BlankTegn,IF(AZ$2=0,SUM(Materialedata[[#This Row],[A1-A3/m²]:[A4/m²]]),
AY18+IF(AZ$2=Input_Tidshorisont,SUM(Materialedata[[#This Row],[C3/m²]:[C4/m²]]),IF(MOD(AZ$2,Materialedata[[#This Row],[Levetid]])=0,SUM(Materialedata[[#This Row],[A1-A3/m²]:[C4/m²]]),0))
))</f>
        <v>9.2067873333333345</v>
      </c>
      <c r="BA18" s="141">
        <f>IF(BA$2&gt;Input_Tidshorisont,BlankTegn,IF(BA$2=0,SUM(Materialedata[[#This Row],[A1-A3/m²]:[A4/m²]]),
AZ18+IF(BA$2=Input_Tidshorisont,SUM(Materialedata[[#This Row],[C3/m²]:[C4/m²]]),IF(MOD(BA$2,Materialedata[[#This Row],[Levetid]])=0,SUM(Materialedata[[#This Row],[A1-A3/m²]:[C4/m²]]),0))
))</f>
        <v>9.2067873333333345</v>
      </c>
      <c r="BB18" s="141">
        <f>IF(BB$2&gt;Input_Tidshorisont,BlankTegn,IF(BB$2=0,SUM(Materialedata[[#This Row],[A1-A3/m²]:[A4/m²]]),
BA18+IF(BB$2=Input_Tidshorisont,SUM(Materialedata[[#This Row],[C3/m²]:[C4/m²]]),IF(MOD(BB$2,Materialedata[[#This Row],[Levetid]])=0,SUM(Materialedata[[#This Row],[A1-A3/m²]:[C4/m²]]),0))
))</f>
        <v>9.2067873333333345</v>
      </c>
      <c r="BC18" s="141">
        <f>IF(BC$2&gt;Input_Tidshorisont,BlankTegn,IF(BC$2=0,SUM(Materialedata[[#This Row],[A1-A3/m²]:[A4/m²]]),
BB18+IF(BC$2=Input_Tidshorisont,SUM(Materialedata[[#This Row],[C3/m²]:[C4/m²]]),IF(MOD(BC$2,Materialedata[[#This Row],[Levetid]])=0,SUM(Materialedata[[#This Row],[A1-A3/m²]:[C4/m²]]),0))
))</f>
        <v>9.2067873333333345</v>
      </c>
      <c r="BD18" s="141">
        <f>IF(BD$2&gt;Input_Tidshorisont,BlankTegn,IF(BD$2=0,SUM(Materialedata[[#This Row],[A1-A3/m²]:[A4/m²]]),
BC18+IF(BD$2=Input_Tidshorisont,SUM(Materialedata[[#This Row],[C3/m²]:[C4/m²]]),IF(MOD(BD$2,Materialedata[[#This Row],[Levetid]])=0,SUM(Materialedata[[#This Row],[A1-A3/m²]:[C4/m²]]),0))
))</f>
        <v>9.2067873333333345</v>
      </c>
      <c r="BE18" s="141">
        <f>IF(BE$2&gt;Input_Tidshorisont,BlankTegn,IF(BE$2=0,SUM(Materialedata[[#This Row],[A1-A3/m²]:[A4/m²]]),
BD18+IF(BE$2=Input_Tidshorisont,SUM(Materialedata[[#This Row],[C3/m²]:[C4/m²]]),IF(MOD(BE$2,Materialedata[[#This Row],[Levetid]])=0,SUM(Materialedata[[#This Row],[A1-A3/m²]:[C4/m²]]),0))
))</f>
        <v>9.2067873333333345</v>
      </c>
      <c r="BF18" s="141">
        <f>IF(BF$2&gt;Input_Tidshorisont,BlankTegn,IF(BF$2=0,SUM(Materialedata[[#This Row],[A1-A3/m²]:[A4/m²]]),
BE18+IF(BF$2=Input_Tidshorisont,SUM(Materialedata[[#This Row],[C3/m²]:[C4/m²]]),IF(MOD(BF$2,Materialedata[[#This Row],[Levetid]])=0,SUM(Materialedata[[#This Row],[A1-A3/m²]:[C4/m²]]),0))
))</f>
        <v>9.2067873333333345</v>
      </c>
      <c r="BG18" s="141">
        <f>IF(BG$2&gt;Input_Tidshorisont,BlankTegn,IF(BG$2=0,SUM(Materialedata[[#This Row],[A1-A3/m²]:[A4/m²]]),
BF18+IF(BG$2=Input_Tidshorisont,SUM(Materialedata[[#This Row],[C3/m²]:[C4/m²]]),IF(MOD(BG$2,Materialedata[[#This Row],[Levetid]])=0,SUM(Materialedata[[#This Row],[A1-A3/m²]:[C4/m²]]),0))
))</f>
        <v>9.2067873333333345</v>
      </c>
      <c r="BH18" s="141">
        <f>IF(BH$2&gt;Input_Tidshorisont,BlankTegn,IF(BH$2=0,SUM(Materialedata[[#This Row],[A1-A3/m²]:[A4/m²]]),
BG18+IF(BH$2=Input_Tidshorisont,SUM(Materialedata[[#This Row],[C3/m²]:[C4/m²]]),IF(MOD(BH$2,Materialedata[[#This Row],[Levetid]])=0,SUM(Materialedata[[#This Row],[A1-A3/m²]:[C4/m²]]),0))
))</f>
        <v>9.2067873333333345</v>
      </c>
      <c r="BI18" s="141">
        <f>IF(BI$2&gt;Input_Tidshorisont,BlankTegn,IF(BI$2=0,SUM(Materialedata[[#This Row],[A1-A3/m²]:[A4/m²]]),
BH18+IF(BI$2=Input_Tidshorisont,SUM(Materialedata[[#This Row],[C3/m²]:[C4/m²]]),IF(MOD(BI$2,Materialedata[[#This Row],[Levetid]])=0,SUM(Materialedata[[#This Row],[A1-A3/m²]:[C4/m²]]),0))
))</f>
        <v>9.2067873333333345</v>
      </c>
      <c r="BJ18" s="141">
        <f>IF(BJ$2&gt;Input_Tidshorisont,BlankTegn,IF(BJ$2=0,SUM(Materialedata[[#This Row],[A1-A3/m²]:[A4/m²]]),
BI18+IF(BJ$2=Input_Tidshorisont,SUM(Materialedata[[#This Row],[C3/m²]:[C4/m²]]),IF(MOD(BJ$2,Materialedata[[#This Row],[Levetid]])=0,SUM(Materialedata[[#This Row],[A1-A3/m²]:[C4/m²]]),0))
))</f>
        <v>9.2067873333333345</v>
      </c>
      <c r="BK18" s="141">
        <f>IF(BK$2&gt;Input_Tidshorisont,BlankTegn,IF(BK$2=0,SUM(Materialedata[[#This Row],[A1-A3/m²]:[A4/m²]]),
BJ18+IF(BK$2=Input_Tidshorisont,SUM(Materialedata[[#This Row],[C3/m²]:[C4/m²]]),IF(MOD(BK$2,Materialedata[[#This Row],[Levetid]])=0,SUM(Materialedata[[#This Row],[A1-A3/m²]:[C4/m²]]),0))
))</f>
        <v>9.2067873333333345</v>
      </c>
      <c r="BL18" s="141">
        <f>IF(BL$2&gt;Input_Tidshorisont,BlankTegn,IF(BL$2=0,SUM(Materialedata[[#This Row],[A1-A3/m²]:[A4/m²]]),
BK18+IF(BL$2=Input_Tidshorisont,SUM(Materialedata[[#This Row],[C3/m²]:[C4/m²]]),IF(MOD(BL$2,Materialedata[[#This Row],[Levetid]])=0,SUM(Materialedata[[#This Row],[A1-A3/m²]:[C4/m²]]),0))
))</f>
        <v>9.2067873333333345</v>
      </c>
      <c r="BM18" s="141">
        <f>IF(BM$2&gt;Input_Tidshorisont,BlankTegn,IF(BM$2=0,SUM(Materialedata[[#This Row],[A1-A3/m²]:[A4/m²]]),
BL18+IF(BM$2=Input_Tidshorisont,SUM(Materialedata[[#This Row],[C3/m²]:[C4/m²]]),IF(MOD(BM$2,Materialedata[[#This Row],[Levetid]])=0,SUM(Materialedata[[#This Row],[A1-A3/m²]:[C4/m²]]),0))
))</f>
        <v>9.2067873333333345</v>
      </c>
      <c r="BN18" s="141">
        <f>IF(BN$2&gt;Input_Tidshorisont,BlankTegn,IF(BN$2=0,SUM(Materialedata[[#This Row],[A1-A3/m²]:[A4/m²]]),
BM18+IF(BN$2=Input_Tidshorisont,SUM(Materialedata[[#This Row],[C3/m²]:[C4/m²]]),IF(MOD(BN$2,Materialedata[[#This Row],[Levetid]])=0,SUM(Materialedata[[#This Row],[A1-A3/m²]:[C4/m²]]),0))
))</f>
        <v>9.2067873333333345</v>
      </c>
      <c r="BO18" s="141">
        <f>IF(BO$2&gt;Input_Tidshorisont,BlankTegn,IF(BO$2=0,SUM(Materialedata[[#This Row],[A1-A3/m²]:[A4/m²]]),
BN18+IF(BO$2=Input_Tidshorisont,SUM(Materialedata[[#This Row],[C3/m²]:[C4/m²]]),IF(MOD(BO$2,Materialedata[[#This Row],[Levetid]])=0,SUM(Materialedata[[#This Row],[A1-A3/m²]:[C4/m²]]),0))
))</f>
        <v>9.2067873333333345</v>
      </c>
      <c r="BP18" s="141">
        <f>IF(BP$2&gt;Input_Tidshorisont,BlankTegn,IF(BP$2=0,SUM(Materialedata[[#This Row],[A1-A3/m²]:[A4/m²]]),
BO18+IF(BP$2=Input_Tidshorisont,SUM(Materialedata[[#This Row],[C3/m²]:[C4/m²]]),IF(MOD(BP$2,Materialedata[[#This Row],[Levetid]])=0,SUM(Materialedata[[#This Row],[A1-A3/m²]:[C4/m²]]),0))
))</f>
        <v>9.2067873333333345</v>
      </c>
      <c r="BQ18" s="141">
        <f>IF(BQ$2&gt;Input_Tidshorisont,BlankTegn,IF(BQ$2=0,SUM(Materialedata[[#This Row],[A1-A3/m²]:[A4/m²]]),
BP18+IF(BQ$2=Input_Tidshorisont,SUM(Materialedata[[#This Row],[C3/m²]:[C4/m²]]),IF(MOD(BQ$2,Materialedata[[#This Row],[Levetid]])=0,SUM(Materialedata[[#This Row],[A1-A3/m²]:[C4/m²]]),0))
))</f>
        <v>9.2067873333333345</v>
      </c>
      <c r="BR18" s="141">
        <f>IF(BR$2&gt;Input_Tidshorisont,BlankTegn,IF(BR$2=0,SUM(Materialedata[[#This Row],[A1-A3/m²]:[A4/m²]]),
BQ18+IF(BR$2=Input_Tidshorisont,SUM(Materialedata[[#This Row],[C3/m²]:[C4/m²]]),IF(MOD(BR$2,Materialedata[[#This Row],[Levetid]])=0,SUM(Materialedata[[#This Row],[A1-A3/m²]:[C4/m²]]),0))
))</f>
        <v>9.2067873333333345</v>
      </c>
      <c r="BS18" s="141">
        <f>IF(BS$2&gt;Input_Tidshorisont,BlankTegn,IF(BS$2=0,SUM(Materialedata[[#This Row],[A1-A3/m²]:[A4/m²]]),
BR18+IF(BS$2=Input_Tidshorisont,SUM(Materialedata[[#This Row],[C3/m²]:[C4/m²]]),IF(MOD(BS$2,Materialedata[[#This Row],[Levetid]])=0,SUM(Materialedata[[#This Row],[A1-A3/m²]:[C4/m²]]),0))
))</f>
        <v>9.2067873333333345</v>
      </c>
      <c r="BT18" s="141">
        <f>IF(BT$2&gt;Input_Tidshorisont,BlankTegn,IF(BT$2=0,SUM(Materialedata[[#This Row],[A1-A3/m²]:[A4/m²]]),
BS18+IF(BT$2=Input_Tidshorisont,SUM(Materialedata[[#This Row],[C3/m²]:[C4/m²]]),IF(MOD(BT$2,Materialedata[[#This Row],[Levetid]])=0,SUM(Materialedata[[#This Row],[A1-A3/m²]:[C4/m²]]),0))
))</f>
        <v>9.2067873333333345</v>
      </c>
      <c r="BU18" s="141">
        <f>IF(BU$2&gt;Input_Tidshorisont,BlankTegn,IF(BU$2=0,SUM(Materialedata[[#This Row],[A1-A3/m²]:[A4/m²]]),
BT18+IF(BU$2=Input_Tidshorisont,SUM(Materialedata[[#This Row],[C3/m²]:[C4/m²]]),IF(MOD(BU$2,Materialedata[[#This Row],[Levetid]])=0,SUM(Materialedata[[#This Row],[A1-A3/m²]:[C4/m²]]),0))
))</f>
        <v>9.2067873333333345</v>
      </c>
      <c r="BV18" s="141">
        <f>IF(BV$2&gt;Input_Tidshorisont,BlankTegn,IF(BV$2=0,SUM(Materialedata[[#This Row],[A1-A3/m²]:[A4/m²]]),
BU18+IF(BV$2=Input_Tidshorisont,SUM(Materialedata[[#This Row],[C3/m²]:[C4/m²]]),IF(MOD(BV$2,Materialedata[[#This Row],[Levetid]])=0,SUM(Materialedata[[#This Row],[A1-A3/m²]:[C4/m²]]),0))
))</f>
        <v>9.2067873333333345</v>
      </c>
      <c r="BW18" s="141">
        <f>IF(BW$2&gt;Input_Tidshorisont,BlankTegn,IF(BW$2=0,SUM(Materialedata[[#This Row],[A1-A3/m²]:[A4/m²]]),
BV18+IF(BW$2=Input_Tidshorisont,SUM(Materialedata[[#This Row],[C3/m²]:[C4/m²]]),IF(MOD(BW$2,Materialedata[[#This Row],[Levetid]])=0,SUM(Materialedata[[#This Row],[A1-A3/m²]:[C4/m²]]),0))
))</f>
        <v>9.2067873333333345</v>
      </c>
      <c r="BX18" s="141">
        <f>IF(BX$2&gt;Input_Tidshorisont,BlankTegn,IF(BX$2=0,SUM(Materialedata[[#This Row],[A1-A3/m²]:[A4/m²]]),
BW18+IF(BX$2=Input_Tidshorisont,SUM(Materialedata[[#This Row],[C3/m²]:[C4/m²]]),IF(MOD(BX$2,Materialedata[[#This Row],[Levetid]])=0,SUM(Materialedata[[#This Row],[A1-A3/m²]:[C4/m²]]),0))
))</f>
        <v>9.2067873333333345</v>
      </c>
      <c r="BY18" s="141">
        <f>IF(BY$2&gt;Input_Tidshorisont,BlankTegn,IF(BY$2=0,SUM(Materialedata[[#This Row],[A1-A3/m²]:[A4/m²]]),
BX18+IF(BY$2=Input_Tidshorisont,SUM(Materialedata[[#This Row],[C3/m²]:[C4/m²]]),IF(MOD(BY$2,Materialedata[[#This Row],[Levetid]])=0,SUM(Materialedata[[#This Row],[A1-A3/m²]:[C4/m²]]),0))
))</f>
        <v>9.2067873333333345</v>
      </c>
      <c r="BZ18" s="141">
        <f>IF(BZ$2&gt;Input_Tidshorisont,BlankTegn,IF(BZ$2=0,SUM(Materialedata[[#This Row],[A1-A3/m²]:[A4/m²]]),
BY18+IF(BZ$2=Input_Tidshorisont,SUM(Materialedata[[#This Row],[C3/m²]:[C4/m²]]),IF(MOD(BZ$2,Materialedata[[#This Row],[Levetid]])=0,SUM(Materialedata[[#This Row],[A1-A3/m²]:[C4/m²]]),0))
))</f>
        <v>9.2067873333333345</v>
      </c>
      <c r="CA18" s="141">
        <f>IF(CA$2&gt;Input_Tidshorisont,BlankTegn,IF(CA$2=0,SUM(Materialedata[[#This Row],[A1-A3/m²]:[A4/m²]]),
BZ18+IF(CA$2=Input_Tidshorisont,SUM(Materialedata[[#This Row],[C3/m²]:[C4/m²]]),IF(MOD(CA$2,Materialedata[[#This Row],[Levetid]])=0,SUM(Materialedata[[#This Row],[A1-A3/m²]:[C4/m²]]),0))
))</f>
        <v>9.2067873333333345</v>
      </c>
      <c r="CB18" s="141">
        <f>IF(CB$2&gt;Input_Tidshorisont,BlankTegn,IF(CB$2=0,SUM(Materialedata[[#This Row],[A1-A3/m²]:[A4/m²]]),
CA18+IF(CB$2=Input_Tidshorisont,SUM(Materialedata[[#This Row],[C3/m²]:[C4/m²]]),IF(MOD(CB$2,Materialedata[[#This Row],[Levetid]])=0,SUM(Materialedata[[#This Row],[A1-A3/m²]:[C4/m²]]),0))
))</f>
        <v>9.2067873333333345</v>
      </c>
      <c r="CC18" s="141">
        <f>IF(CC$2&gt;Input_Tidshorisont,BlankTegn,IF(CC$2=0,SUM(Materialedata[[#This Row],[A1-A3/m²]:[A4/m²]]),
CB18+IF(CC$2=Input_Tidshorisont,SUM(Materialedata[[#This Row],[C3/m²]:[C4/m²]]),IF(MOD(CC$2,Materialedata[[#This Row],[Levetid]])=0,SUM(Materialedata[[#This Row],[A1-A3/m²]:[C4/m²]]),0))
))</f>
        <v>9.2067873333333345</v>
      </c>
      <c r="CD18" s="141">
        <f>IF(CD$2&gt;Input_Tidshorisont,BlankTegn,IF(CD$2=0,SUM(Materialedata[[#This Row],[A1-A3/m²]:[A4/m²]]),
CC18+IF(CD$2=Input_Tidshorisont,SUM(Materialedata[[#This Row],[C3/m²]:[C4/m²]]),IF(MOD(CD$2,Materialedata[[#This Row],[Levetid]])=0,SUM(Materialedata[[#This Row],[A1-A3/m²]:[C4/m²]]),0))
))</f>
        <v>9.2067873333333345</v>
      </c>
      <c r="CE18" s="141">
        <f>IF(CE$2&gt;Input_Tidshorisont,BlankTegn,IF(CE$2=0,SUM(Materialedata[[#This Row],[A1-A3/m²]:[A4/m²]]),
CD18+IF(CE$2=Input_Tidshorisont,SUM(Materialedata[[#This Row],[C3/m²]:[C4/m²]]),IF(MOD(CE$2,Materialedata[[#This Row],[Levetid]])=0,SUM(Materialedata[[#This Row],[A1-A3/m²]:[C4/m²]]),0))
))</f>
        <v>9.2067873333333345</v>
      </c>
      <c r="CF18" s="141">
        <f>IF(CF$2&gt;Input_Tidshorisont,BlankTegn,IF(CF$2=0,SUM(Materialedata[[#This Row],[A1-A3/m²]:[A4/m²]]),
CE18+IF(CF$2=Input_Tidshorisont,SUM(Materialedata[[#This Row],[C3/m²]:[C4/m²]]),IF(MOD(CF$2,Materialedata[[#This Row],[Levetid]])=0,SUM(Materialedata[[#This Row],[A1-A3/m²]:[C4/m²]]),0))
))</f>
        <v>9.2067873333333345</v>
      </c>
      <c r="CG18" s="141">
        <f>IF(CG$2&gt;Input_Tidshorisont,BlankTegn,IF(CG$2=0,SUM(Materialedata[[#This Row],[A1-A3/m²]:[A4/m²]]),
CF18+IF(CG$2=Input_Tidshorisont,SUM(Materialedata[[#This Row],[C3/m²]:[C4/m²]]),IF(MOD(CG$2,Materialedata[[#This Row],[Levetid]])=0,SUM(Materialedata[[#This Row],[A1-A3/m²]:[C4/m²]]),0))
))</f>
        <v>9.2067873333333345</v>
      </c>
      <c r="CH18" s="141">
        <f>IF(CH$2&gt;Input_Tidshorisont,BlankTegn,IF(CH$2=0,SUM(Materialedata[[#This Row],[A1-A3/m²]:[A4/m²]]),
CG18+IF(CH$2=Input_Tidshorisont,SUM(Materialedata[[#This Row],[C3/m²]:[C4/m²]]),IF(MOD(CH$2,Materialedata[[#This Row],[Levetid]])=0,SUM(Materialedata[[#This Row],[A1-A3/m²]:[C4/m²]]),0))
))</f>
        <v>9.2183856233333348</v>
      </c>
      <c r="CI18" s="141" t="str">
        <f>IF(CI$2&gt;Input_Tidshorisont,BlankTegn,IF(CI$2=0,SUM(Materialedata[[#This Row],[A1-A3/m²]:[A4/m²]]),
CH18+IF(CI$2=Input_Tidshorisont,SUM(Materialedata[[#This Row],[C3/m²]:[C4/m²]]),IF(MOD(CI$2,Materialedata[[#This Row],[Levetid]])=0,SUM(Materialedata[[#This Row],[A1-A3/m²]:[C4/m²]]),0))
))</f>
        <v>.</v>
      </c>
      <c r="CJ18" s="141" t="str">
        <f>IF(CJ$2&gt;Input_Tidshorisont,BlankTegn,IF(CJ$2=0,SUM(Materialedata[[#This Row],[A1-A3/m²]:[A4/m²]]),
CI18+IF(CJ$2=Input_Tidshorisont,SUM(Materialedata[[#This Row],[C3/m²]:[C4/m²]]),IF(MOD(CJ$2,Materialedata[[#This Row],[Levetid]])=0,SUM(Materialedata[[#This Row],[A1-A3/m²]:[C4/m²]]),0))
))</f>
        <v>.</v>
      </c>
      <c r="CK18" s="141" t="str">
        <f>IF(CK$2&gt;Input_Tidshorisont,BlankTegn,IF(CK$2=0,SUM(Materialedata[[#This Row],[A1-A3/m²]:[A4/m²]]),
CJ18+IF(CK$2=Input_Tidshorisont,SUM(Materialedata[[#This Row],[C3/m²]:[C4/m²]]),IF(MOD(CK$2,Materialedata[[#This Row],[Levetid]])=0,SUM(Materialedata[[#This Row],[A1-A3/m²]:[C4/m²]]),0))
))</f>
        <v>.</v>
      </c>
      <c r="CL18" s="141" t="str">
        <f>IF(CL$2&gt;Input_Tidshorisont,BlankTegn,IF(CL$2=0,SUM(Materialedata[[#This Row],[A1-A3/m²]:[A4/m²]]),
CK18+IF(CL$2=Input_Tidshorisont,SUM(Materialedata[[#This Row],[C3/m²]:[C4/m²]]),IF(MOD(CL$2,Materialedata[[#This Row],[Levetid]])=0,SUM(Materialedata[[#This Row],[A1-A3/m²]:[C4/m²]]),0))
))</f>
        <v>.</v>
      </c>
      <c r="CM18" s="141" t="str">
        <f>IF(CM$2&gt;Input_Tidshorisont,BlankTegn,IF(CM$2=0,SUM(Materialedata[[#This Row],[A1-A3/m²]:[A4/m²]]),
CL18+IF(CM$2=Input_Tidshorisont,SUM(Materialedata[[#This Row],[C3/m²]:[C4/m²]]),IF(MOD(CM$2,Materialedata[[#This Row],[Levetid]])=0,SUM(Materialedata[[#This Row],[A1-A3/m²]:[C4/m²]]),0))
))</f>
        <v>.</v>
      </c>
      <c r="CN18" s="141" t="str">
        <f>IF(CN$2&gt;Input_Tidshorisont,BlankTegn,IF(CN$2=0,SUM(Materialedata[[#This Row],[A1-A3/m²]:[A4/m²]]),
CM18+IF(CN$2=Input_Tidshorisont,SUM(Materialedata[[#This Row],[C3/m²]:[C4/m²]]),IF(MOD(CN$2,Materialedata[[#This Row],[Levetid]])=0,SUM(Materialedata[[#This Row],[A1-A3/m²]:[C4/m²]]),0))
))</f>
        <v>.</v>
      </c>
      <c r="CO18" s="141" t="str">
        <f>IF(CO$2&gt;Input_Tidshorisont,BlankTegn,IF(CO$2=0,SUM(Materialedata[[#This Row],[A1-A3/m²]:[A4/m²]]),
CN18+IF(CO$2=Input_Tidshorisont,SUM(Materialedata[[#This Row],[C3/m²]:[C4/m²]]),IF(MOD(CO$2,Materialedata[[#This Row],[Levetid]])=0,SUM(Materialedata[[#This Row],[A1-A3/m²]:[C4/m²]]),0))
))</f>
        <v>.</v>
      </c>
      <c r="CP18" s="141" t="str">
        <f>IF(CP$2&gt;Input_Tidshorisont,BlankTegn,IF(CP$2=0,SUM(Materialedata[[#This Row],[A1-A3/m²]:[A4/m²]]),
CO18+IF(CP$2=Input_Tidshorisont,SUM(Materialedata[[#This Row],[C3/m²]:[C4/m²]]),IF(MOD(CP$2,Materialedata[[#This Row],[Levetid]])=0,SUM(Materialedata[[#This Row],[A1-A3/m²]:[C4/m²]]),0))
))</f>
        <v>.</v>
      </c>
      <c r="CQ18" s="141" t="str">
        <f>IF(CQ$2&gt;Input_Tidshorisont,BlankTegn,IF(CQ$2=0,SUM(Materialedata[[#This Row],[A1-A3/m²]:[A4/m²]]),
CP18+IF(CQ$2=Input_Tidshorisont,SUM(Materialedata[[#This Row],[C3/m²]:[C4/m²]]),IF(MOD(CQ$2,Materialedata[[#This Row],[Levetid]])=0,SUM(Materialedata[[#This Row],[A1-A3/m²]:[C4/m²]]),0))
))</f>
        <v>.</v>
      </c>
      <c r="CR18" s="141" t="str">
        <f>IF(CR$2&gt;Input_Tidshorisont,BlankTegn,IF(CR$2=0,SUM(Materialedata[[#This Row],[A1-A3/m²]:[A4/m²]]),
CQ18+IF(CR$2=Input_Tidshorisont,SUM(Materialedata[[#This Row],[C3/m²]:[C4/m²]]),IF(MOD(CR$2,Materialedata[[#This Row],[Levetid]])=0,SUM(Materialedata[[#This Row],[A1-A3/m²]:[C4/m²]]),0))
))</f>
        <v>.</v>
      </c>
      <c r="CS18" s="141" t="str">
        <f>IF(CS$2&gt;Input_Tidshorisont,BlankTegn,IF(CS$2=0,SUM(Materialedata[[#This Row],[A1-A3/m²]:[A4/m²]]),
CR18+IF(CS$2=Input_Tidshorisont,SUM(Materialedata[[#This Row],[C3/m²]:[C4/m²]]),IF(MOD(CS$2,Materialedata[[#This Row],[Levetid]])=0,SUM(Materialedata[[#This Row],[A1-A3/m²]:[C4/m²]]),0))
))</f>
        <v>.</v>
      </c>
      <c r="CT18" s="141" t="str">
        <f>IF(CT$2&gt;Input_Tidshorisont,BlankTegn,IF(CT$2=0,SUM(Materialedata[[#This Row],[A1-A3/m²]:[A4/m²]]),
CS18+IF(CT$2=Input_Tidshorisont,SUM(Materialedata[[#This Row],[C3/m²]:[C4/m²]]),IF(MOD(CT$2,Materialedata[[#This Row],[Levetid]])=0,SUM(Materialedata[[#This Row],[A1-A3/m²]:[C4/m²]]),0))
))</f>
        <v>.</v>
      </c>
      <c r="CU18" s="141" t="str">
        <f>IF(CU$2&gt;Input_Tidshorisont,BlankTegn,IF(CU$2=0,SUM(Materialedata[[#This Row],[A1-A3/m²]:[A4/m²]]),
CT18+IF(CU$2=Input_Tidshorisont,SUM(Materialedata[[#This Row],[C3/m²]:[C4/m²]]),IF(MOD(CU$2,Materialedata[[#This Row],[Levetid]])=0,SUM(Materialedata[[#This Row],[A1-A3/m²]:[C4/m²]]),0))
))</f>
        <v>.</v>
      </c>
      <c r="CV18" s="141" t="str">
        <f>IF(CV$2&gt;Input_Tidshorisont,BlankTegn,IF(CV$2=0,SUM(Materialedata[[#This Row],[A1-A3/m²]:[A4/m²]]),
CU18+IF(CV$2=Input_Tidshorisont,SUM(Materialedata[[#This Row],[C3/m²]:[C4/m²]]),IF(MOD(CV$2,Materialedata[[#This Row],[Levetid]])=0,SUM(Materialedata[[#This Row],[A1-A3/m²]:[C4/m²]]),0))
))</f>
        <v>.</v>
      </c>
      <c r="CW18" s="141" t="str">
        <f>IF(CW$2&gt;Input_Tidshorisont,BlankTegn,IF(CW$2=0,SUM(Materialedata[[#This Row],[A1-A3/m²]:[A4/m²]]),
CV18+IF(CW$2=Input_Tidshorisont,SUM(Materialedata[[#This Row],[C3/m²]:[C4/m²]]),IF(MOD(CW$2,Materialedata[[#This Row],[Levetid]])=0,SUM(Materialedata[[#This Row],[A1-A3/m²]:[C4/m²]]),0))
))</f>
        <v>.</v>
      </c>
      <c r="CX18" s="141" t="str">
        <f>IF(CX$2&gt;Input_Tidshorisont,BlankTegn,IF(CX$2=0,SUM(Materialedata[[#This Row],[A1-A3/m²]:[A4/m²]]),
CW18+IF(CX$2=Input_Tidshorisont,SUM(Materialedata[[#This Row],[C3/m²]:[C4/m²]]),IF(MOD(CX$2,Materialedata[[#This Row],[Levetid]])=0,SUM(Materialedata[[#This Row],[A1-A3/m²]:[C4/m²]]),0))
))</f>
        <v>.</v>
      </c>
      <c r="CY18" s="141" t="str">
        <f>IF(CY$2&gt;Input_Tidshorisont,BlankTegn,IF(CY$2=0,SUM(Materialedata[[#This Row],[A1-A3/m²]:[A4/m²]]),
CX18+IF(CY$2=Input_Tidshorisont,SUM(Materialedata[[#This Row],[C3/m²]:[C4/m²]]),IF(MOD(CY$2,Materialedata[[#This Row],[Levetid]])=0,SUM(Materialedata[[#This Row],[A1-A3/m²]:[C4/m²]]),0))
))</f>
        <v>.</v>
      </c>
      <c r="CZ18" s="141" t="str">
        <f>IF(CZ$2&gt;Input_Tidshorisont,BlankTegn,IF(CZ$2=0,SUM(Materialedata[[#This Row],[A1-A3/m²]:[A4/m²]]),
CY18+IF(CZ$2=Input_Tidshorisont,SUM(Materialedata[[#This Row],[C3/m²]:[C4/m²]]),IF(MOD(CZ$2,Materialedata[[#This Row],[Levetid]])=0,SUM(Materialedata[[#This Row],[A1-A3/m²]:[C4/m²]]),0))
))</f>
        <v>.</v>
      </c>
      <c r="DA18" s="141" t="str">
        <f>IF(DA$2&gt;Input_Tidshorisont,BlankTegn,IF(DA$2=0,SUM(Materialedata[[#This Row],[A1-A3/m²]:[A4/m²]]),
CZ18+IF(DA$2=Input_Tidshorisont,SUM(Materialedata[[#This Row],[C3/m²]:[C4/m²]]),IF(MOD(DA$2,Materialedata[[#This Row],[Levetid]])=0,SUM(Materialedata[[#This Row],[A1-A3/m²]:[C4/m²]]),0))
))</f>
        <v>.</v>
      </c>
      <c r="DB18" s="141" t="str">
        <f>IF(DB$2&gt;Input_Tidshorisont,BlankTegn,IF(DB$2=0,SUM(Materialedata[[#This Row],[A1-A3/m²]:[A4/m²]]),
DA18+IF(DB$2=Input_Tidshorisont,SUM(Materialedata[[#This Row],[C3/m²]:[C4/m²]]),IF(MOD(DB$2,Materialedata[[#This Row],[Levetid]])=0,SUM(Materialedata[[#This Row],[A1-A3/m²]:[C4/m²]]),0))
))</f>
        <v>.</v>
      </c>
      <c r="DC18" s="141" t="str">
        <f>IF(DC$2&gt;Input_Tidshorisont,BlankTegn,IF(DC$2=0,SUM(Materialedata[[#This Row],[A1-A3/m²]:[A4/m²]]),
DB18+IF(DC$2=Input_Tidshorisont,SUM(Materialedata[[#This Row],[C3/m²]:[C4/m²]]),IF(MOD(DC$2,Materialedata[[#This Row],[Levetid]])=0,SUM(Materialedata[[#This Row],[A1-A3/m²]:[C4/m²]]),0))
))</f>
        <v>.</v>
      </c>
      <c r="DD18" s="141" t="str">
        <f>IF(DD$2&gt;Input_Tidshorisont,BlankTegn,IF(DD$2=0,SUM(Materialedata[[#This Row],[A1-A3/m²]:[A4/m²]]),
DC18+IF(DD$2=Input_Tidshorisont,SUM(Materialedata[[#This Row],[C3/m²]:[C4/m²]]),IF(MOD(DD$2,Materialedata[[#This Row],[Levetid]])=0,SUM(Materialedata[[#This Row],[A1-A3/m²]:[C4/m²]]),0))
))</f>
        <v>.</v>
      </c>
      <c r="DE18" s="141" t="str">
        <f>IF(DE$2&gt;Input_Tidshorisont,BlankTegn,IF(DE$2=0,SUM(Materialedata[[#This Row],[A1-A3/m²]:[A4/m²]]),
DD18+IF(DE$2=Input_Tidshorisont,SUM(Materialedata[[#This Row],[C3/m²]:[C4/m²]]),IF(MOD(DE$2,Materialedata[[#This Row],[Levetid]])=0,SUM(Materialedata[[#This Row],[A1-A3/m²]:[C4/m²]]),0))
))</f>
        <v>.</v>
      </c>
      <c r="DF18" s="141" t="str">
        <f>IF(DF$2&gt;Input_Tidshorisont,BlankTegn,IF(DF$2=0,SUM(Materialedata[[#This Row],[A1-A3/m²]:[A4/m²]]),
DE18+IF(DF$2=Input_Tidshorisont,SUM(Materialedata[[#This Row],[C3/m²]:[C4/m²]]),IF(MOD(DF$2,Materialedata[[#This Row],[Levetid]])=0,SUM(Materialedata[[#This Row],[A1-A3/m²]:[C4/m²]]),0))
))</f>
        <v>.</v>
      </c>
      <c r="DG18" s="141" t="str">
        <f>IF(DG$2&gt;Input_Tidshorisont,BlankTegn,IF(DG$2=0,SUM(Materialedata[[#This Row],[A1-A3/m²]:[A4/m²]]),
DF18+IF(DG$2=Input_Tidshorisont,SUM(Materialedata[[#This Row],[C3/m²]:[C4/m²]]),IF(MOD(DG$2,Materialedata[[#This Row],[Levetid]])=0,SUM(Materialedata[[#This Row],[A1-A3/m²]:[C4/m²]]),0))
))</f>
        <v>.</v>
      </c>
      <c r="DH18" s="141" t="str">
        <f>IF(DH$2&gt;Input_Tidshorisont,BlankTegn,IF(DH$2=0,SUM(Materialedata[[#This Row],[A1-A3/m²]:[A4/m²]]),
DG18+IF(DH$2=Input_Tidshorisont,SUM(Materialedata[[#This Row],[C3/m²]:[C4/m²]]),IF(MOD(DH$2,Materialedata[[#This Row],[Levetid]])=0,SUM(Materialedata[[#This Row],[A1-A3/m²]:[C4/m²]]),0))
))</f>
        <v>.</v>
      </c>
      <c r="DI18" s="141" t="str">
        <f>IF(DI$2&gt;Input_Tidshorisont,BlankTegn,IF(DI$2=0,SUM(Materialedata[[#This Row],[A1-A3/m²]:[A4/m²]]),
DH18+IF(DI$2=Input_Tidshorisont,SUM(Materialedata[[#This Row],[C3/m²]:[C4/m²]]),IF(MOD(DI$2,Materialedata[[#This Row],[Levetid]])=0,SUM(Materialedata[[#This Row],[A1-A3/m²]:[C4/m²]]),0))
))</f>
        <v>.</v>
      </c>
      <c r="DJ18" s="141" t="str">
        <f>IF(DJ$2&gt;Input_Tidshorisont,BlankTegn,IF(DJ$2=0,SUM(Materialedata[[#This Row],[A1-A3/m²]:[A4/m²]]),
DI18+IF(DJ$2=Input_Tidshorisont,SUM(Materialedata[[#This Row],[C3/m²]:[C4/m²]]),IF(MOD(DJ$2,Materialedata[[#This Row],[Levetid]])=0,SUM(Materialedata[[#This Row],[A1-A3/m²]:[C4/m²]]),0))
))</f>
        <v>.</v>
      </c>
      <c r="DK18" s="141" t="str">
        <f>IF(DK$2&gt;Input_Tidshorisont,BlankTegn,IF(DK$2=0,SUM(Materialedata[[#This Row],[A1-A3/m²]:[A4/m²]]),
DJ18+IF(DK$2=Input_Tidshorisont,SUM(Materialedata[[#This Row],[C3/m²]:[C4/m²]]),IF(MOD(DK$2,Materialedata[[#This Row],[Levetid]])=0,SUM(Materialedata[[#This Row],[A1-A3/m²]:[C4/m²]]),0))
))</f>
        <v>.</v>
      </c>
      <c r="DL18" s="141" t="str">
        <f>IF(DL$2&gt;Input_Tidshorisont,BlankTegn,IF(DL$2=0,SUM(Materialedata[[#This Row],[A1-A3/m²]:[A4/m²]]),
DK18+IF(DL$2=Input_Tidshorisont,SUM(Materialedata[[#This Row],[C3/m²]:[C4/m²]]),IF(MOD(DL$2,Materialedata[[#This Row],[Levetid]])=0,SUM(Materialedata[[#This Row],[A1-A3/m²]:[C4/m²]]),0))
))</f>
        <v>.</v>
      </c>
      <c r="DM18" s="19"/>
    </row>
    <row r="19" spans="1:117">
      <c r="A19" s="182" t="s">
        <v>42</v>
      </c>
      <c r="B19" s="182" t="s">
        <v>153</v>
      </c>
      <c r="C19" s="148" t="s">
        <v>151</v>
      </c>
      <c r="D19" s="180" t="s">
        <v>276</v>
      </c>
      <c r="E19" s="180" t="s">
        <v>276</v>
      </c>
      <c r="F19" s="182" t="s">
        <v>134</v>
      </c>
      <c r="G19" s="182">
        <v>100</v>
      </c>
      <c r="H19" s="183">
        <v>2720</v>
      </c>
      <c r="I19" s="195">
        <f>((0.97*4)/1.2)</f>
        <v>3.2333333333333334</v>
      </c>
      <c r="J19" s="184" t="s">
        <v>101</v>
      </c>
      <c r="K19" s="182">
        <f t="shared" si="4"/>
        <v>2.58</v>
      </c>
      <c r="L19" s="182" t="s">
        <v>41</v>
      </c>
      <c r="M19" s="185">
        <f>IF(ISBLANK(Materialedata[[#This Row],[A4-gruppe]]),BlankTegn,INDEX(Byggeproces[GWP],MATCH(Materialedata[[#This Row],[A4-gruppe]],Byggeproces[Gruppe/Undergruppe],0)))</f>
        <v>8.6E-3</v>
      </c>
      <c r="N19" s="182">
        <f t="shared" si="5"/>
        <v>2.5600000000000002E-3</v>
      </c>
      <c r="O19" s="182">
        <f t="shared" si="6"/>
        <v>7.0099999999999991E-4</v>
      </c>
      <c r="P19" s="182">
        <f t="shared" si="7"/>
        <v>-1.5E-3</v>
      </c>
      <c r="Q19" s="277">
        <f>Materialedata[[#This Row],[A1-A3/standardenhed]]*Materialedata[[#This Row],[Mængde/m²]]</f>
        <v>8.3420000000000005</v>
      </c>
      <c r="R19" s="278" cm="1">
        <f t="array" ref="R19">IFERROR(_xlfn.IFS(Materialedata[[#This Row],[Mængde-enhed]]="kg/m²",Materialedata[[#This Row],[A4/kg]]*Materialedata[[#This Row],[Mængde/m²]],Materialedata[[#This Row],[Mængde-enhed]]="m³/m²",Materialedata[[#This Row],[A4/kg]]*Materialedata[[#This Row],[Mængde/m²]]*Materialedata[[#This Row],[Densitet]]),"N/A")</f>
        <v>2.7806666666666667E-2</v>
      </c>
      <c r="S19" s="277">
        <f>Materialedata[[#This Row],[C3/enhed]]*Materialedata[[#This Row],[Mængde/m²]]</f>
        <v>8.2773333333333345E-3</v>
      </c>
      <c r="T19" s="277">
        <f>Materialedata[[#This Row],[C4/enhed]]*Materialedata[[#This Row],[Mængde/m²]]</f>
        <v>2.2665666666666666E-3</v>
      </c>
      <c r="U19" s="277">
        <f>Materialedata[[#This Row],[D/enhed]]*Materialedata[[#This Row],[Mængde/m²]]</f>
        <v>-4.8500000000000001E-3</v>
      </c>
      <c r="V19" s="150">
        <f>IFERROR(INDEX(Range_Materiale_Genbrug,MATCH(Materialedata[[#This Row],[Komponent]],Facadekomponenter,0)),BlankTegn)</f>
        <v>0</v>
      </c>
      <c r="W19" s="150">
        <f>IFERROR(1-Materialedata[[#This Row],[Genbrug]],BlankTegn)</f>
        <v>1</v>
      </c>
      <c r="X19" s="186">
        <f>IFERROR(Materialedata[[#This Row],[A1-A3/m²_nyt]]*Materialedata[[#This Row],[Nyt]],BlankTegn)</f>
        <v>8.3420000000000005</v>
      </c>
      <c r="Y19" s="186">
        <f>Materialedata[[#This Row],[A4/m²_nyt]]</f>
        <v>2.7806666666666667E-2</v>
      </c>
      <c r="Z19" s="186">
        <f>IFERROR(Materialedata[[#This Row],[C3/m²_nyt]]*Materialedata[[#This Row],[Nyt]],BlankTegn)</f>
        <v>8.2773333333333345E-3</v>
      </c>
      <c r="AA19" s="186">
        <f>IFERROR(Materialedata[[#This Row],[C4/m²_nyt]]*Materialedata[[#This Row],[Nyt]],BlankTegn)</f>
        <v>2.2665666666666666E-3</v>
      </c>
      <c r="AB19" s="186">
        <f>IFERROR(Materialedata[[#This Row],[D/m²_nyt]]*Materialedata[[#This Row],[Nyt]],BlankTegn)</f>
        <v>-4.8500000000000001E-3</v>
      </c>
      <c r="AC19" s="187">
        <f>AC18</f>
        <v>58.955447623503893</v>
      </c>
      <c r="AD19" s="188" t="s">
        <v>134</v>
      </c>
      <c r="AE19" s="391">
        <f>1*Materialedata[[#This Row],[Mængde/m²]]</f>
        <v>3.2333333333333334</v>
      </c>
      <c r="AF19" s="189">
        <f>Materialedata[[#This Row],[Pris/enhed]]*Materialedata[[#This Row],[Omregning]]</f>
        <v>190.62261398266259</v>
      </c>
      <c r="AG19" s="190">
        <v>0.03</v>
      </c>
      <c r="AH19" s="191">
        <v>1</v>
      </c>
      <c r="AI19" s="162">
        <v>0</v>
      </c>
      <c r="AJ19" s="141">
        <f>IF(AJ$2&gt;Input_Tidshorisont,BlankTegn,IF(AJ$2=0,SUM(Materialedata[[#This Row],[A1-A3/m²]:[A4/m²]]),
AI19+IF(AJ$2=Input_Tidshorisont,SUM(Materialedata[[#This Row],[C3/m²]:[C4/m²]]),IF(MOD(AJ$2,Materialedata[[#This Row],[Levetid]])=0,SUM(Materialedata[[#This Row],[A1-A3/m²]:[C4/m²]]),0))
))</f>
        <v>8.3698066666666673</v>
      </c>
      <c r="AK19" s="141">
        <f>IF(AK$2&gt;Input_Tidshorisont,BlankTegn,IF(AK$2=0,SUM(Materialedata[[#This Row],[A1-A3/m²]:[A4/m²]]),
AJ19+IF(AK$2=Input_Tidshorisont,SUM(Materialedata[[#This Row],[C3/m²]:[C4/m²]]),IF(MOD(AK$2,Materialedata[[#This Row],[Levetid]])=0,SUM(Materialedata[[#This Row],[A1-A3/m²]:[C4/m²]]),0))
))</f>
        <v>8.3698066666666673</v>
      </c>
      <c r="AL19" s="141">
        <f>IF(AL$2&gt;Input_Tidshorisont,BlankTegn,IF(AL$2=0,SUM(Materialedata[[#This Row],[A1-A3/m²]:[A4/m²]]),
AK19+IF(AL$2=Input_Tidshorisont,SUM(Materialedata[[#This Row],[C3/m²]:[C4/m²]]),IF(MOD(AL$2,Materialedata[[#This Row],[Levetid]])=0,SUM(Materialedata[[#This Row],[A1-A3/m²]:[C4/m²]]),0))
))</f>
        <v>8.3698066666666673</v>
      </c>
      <c r="AM19" s="141">
        <f>IF(AM$2&gt;Input_Tidshorisont,BlankTegn,IF(AM$2=0,SUM(Materialedata[[#This Row],[A1-A3/m²]:[A4/m²]]),
AL19+IF(AM$2=Input_Tidshorisont,SUM(Materialedata[[#This Row],[C3/m²]:[C4/m²]]),IF(MOD(AM$2,Materialedata[[#This Row],[Levetid]])=0,SUM(Materialedata[[#This Row],[A1-A3/m²]:[C4/m²]]),0))
))</f>
        <v>8.3698066666666673</v>
      </c>
      <c r="AN19" s="141">
        <f>IF(AN$2&gt;Input_Tidshorisont,BlankTegn,IF(AN$2=0,SUM(Materialedata[[#This Row],[A1-A3/m²]:[A4/m²]]),
AM19+IF(AN$2=Input_Tidshorisont,SUM(Materialedata[[#This Row],[C3/m²]:[C4/m²]]),IF(MOD(AN$2,Materialedata[[#This Row],[Levetid]])=0,SUM(Materialedata[[#This Row],[A1-A3/m²]:[C4/m²]]),0))
))</f>
        <v>8.3698066666666673</v>
      </c>
      <c r="AO19" s="141">
        <f>IF(AO$2&gt;Input_Tidshorisont,BlankTegn,IF(AO$2=0,SUM(Materialedata[[#This Row],[A1-A3/m²]:[A4/m²]]),
AN19+IF(AO$2=Input_Tidshorisont,SUM(Materialedata[[#This Row],[C3/m²]:[C4/m²]]),IF(MOD(AO$2,Materialedata[[#This Row],[Levetid]])=0,SUM(Materialedata[[#This Row],[A1-A3/m²]:[C4/m²]]),0))
))</f>
        <v>8.3698066666666673</v>
      </c>
      <c r="AP19" s="141">
        <f>IF(AP$2&gt;Input_Tidshorisont,BlankTegn,IF(AP$2=0,SUM(Materialedata[[#This Row],[A1-A3/m²]:[A4/m²]]),
AO19+IF(AP$2=Input_Tidshorisont,SUM(Materialedata[[#This Row],[C3/m²]:[C4/m²]]),IF(MOD(AP$2,Materialedata[[#This Row],[Levetid]])=0,SUM(Materialedata[[#This Row],[A1-A3/m²]:[C4/m²]]),0))
))</f>
        <v>8.3698066666666673</v>
      </c>
      <c r="AQ19" s="141">
        <f>IF(AQ$2&gt;Input_Tidshorisont,BlankTegn,IF(AQ$2=0,SUM(Materialedata[[#This Row],[A1-A3/m²]:[A4/m²]]),
AP19+IF(AQ$2=Input_Tidshorisont,SUM(Materialedata[[#This Row],[C3/m²]:[C4/m²]]),IF(MOD(AQ$2,Materialedata[[#This Row],[Levetid]])=0,SUM(Materialedata[[#This Row],[A1-A3/m²]:[C4/m²]]),0))
))</f>
        <v>8.3698066666666673</v>
      </c>
      <c r="AR19" s="141">
        <f>IF(AR$2&gt;Input_Tidshorisont,BlankTegn,IF(AR$2=0,SUM(Materialedata[[#This Row],[A1-A3/m²]:[A4/m²]]),
AQ19+IF(AR$2=Input_Tidshorisont,SUM(Materialedata[[#This Row],[C3/m²]:[C4/m²]]),IF(MOD(AR$2,Materialedata[[#This Row],[Levetid]])=0,SUM(Materialedata[[#This Row],[A1-A3/m²]:[C4/m²]]),0))
))</f>
        <v>8.3698066666666673</v>
      </c>
      <c r="AS19" s="141">
        <f>IF(AS$2&gt;Input_Tidshorisont,BlankTegn,IF(AS$2=0,SUM(Materialedata[[#This Row],[A1-A3/m²]:[A4/m²]]),
AR19+IF(AS$2=Input_Tidshorisont,SUM(Materialedata[[#This Row],[C3/m²]:[C4/m²]]),IF(MOD(AS$2,Materialedata[[#This Row],[Levetid]])=0,SUM(Materialedata[[#This Row],[A1-A3/m²]:[C4/m²]]),0))
))</f>
        <v>8.3698066666666673</v>
      </c>
      <c r="AT19" s="141">
        <f>IF(AT$2&gt;Input_Tidshorisont,BlankTegn,IF(AT$2=0,SUM(Materialedata[[#This Row],[A1-A3/m²]:[A4/m²]]),
AS19+IF(AT$2=Input_Tidshorisont,SUM(Materialedata[[#This Row],[C3/m²]:[C4/m²]]),IF(MOD(AT$2,Materialedata[[#This Row],[Levetid]])=0,SUM(Materialedata[[#This Row],[A1-A3/m²]:[C4/m²]]),0))
))</f>
        <v>8.3698066666666673</v>
      </c>
      <c r="AU19" s="141">
        <f>IF(AU$2&gt;Input_Tidshorisont,BlankTegn,IF(AU$2=0,SUM(Materialedata[[#This Row],[A1-A3/m²]:[A4/m²]]),
AT19+IF(AU$2=Input_Tidshorisont,SUM(Materialedata[[#This Row],[C3/m²]:[C4/m²]]),IF(MOD(AU$2,Materialedata[[#This Row],[Levetid]])=0,SUM(Materialedata[[#This Row],[A1-A3/m²]:[C4/m²]]),0))
))</f>
        <v>8.3698066666666673</v>
      </c>
      <c r="AV19" s="141">
        <f>IF(AV$2&gt;Input_Tidshorisont,BlankTegn,IF(AV$2=0,SUM(Materialedata[[#This Row],[A1-A3/m²]:[A4/m²]]),
AU19+IF(AV$2=Input_Tidshorisont,SUM(Materialedata[[#This Row],[C3/m²]:[C4/m²]]),IF(MOD(AV$2,Materialedata[[#This Row],[Levetid]])=0,SUM(Materialedata[[#This Row],[A1-A3/m²]:[C4/m²]]),0))
))</f>
        <v>8.3698066666666673</v>
      </c>
      <c r="AW19" s="141">
        <f>IF(AW$2&gt;Input_Tidshorisont,BlankTegn,IF(AW$2=0,SUM(Materialedata[[#This Row],[A1-A3/m²]:[A4/m²]]),
AV19+IF(AW$2=Input_Tidshorisont,SUM(Materialedata[[#This Row],[C3/m²]:[C4/m²]]),IF(MOD(AW$2,Materialedata[[#This Row],[Levetid]])=0,SUM(Materialedata[[#This Row],[A1-A3/m²]:[C4/m²]]),0))
))</f>
        <v>8.3698066666666673</v>
      </c>
      <c r="AX19" s="141">
        <f>IF(AX$2&gt;Input_Tidshorisont,BlankTegn,IF(AX$2=0,SUM(Materialedata[[#This Row],[A1-A3/m²]:[A4/m²]]),
AW19+IF(AX$2=Input_Tidshorisont,SUM(Materialedata[[#This Row],[C3/m²]:[C4/m²]]),IF(MOD(AX$2,Materialedata[[#This Row],[Levetid]])=0,SUM(Materialedata[[#This Row],[A1-A3/m²]:[C4/m²]]),0))
))</f>
        <v>8.3698066666666673</v>
      </c>
      <c r="AY19" s="141">
        <f>IF(AY$2&gt;Input_Tidshorisont,BlankTegn,IF(AY$2=0,SUM(Materialedata[[#This Row],[A1-A3/m²]:[A4/m²]]),
AX19+IF(AY$2=Input_Tidshorisont,SUM(Materialedata[[#This Row],[C3/m²]:[C4/m²]]),IF(MOD(AY$2,Materialedata[[#This Row],[Levetid]])=0,SUM(Materialedata[[#This Row],[A1-A3/m²]:[C4/m²]]),0))
))</f>
        <v>8.3698066666666673</v>
      </c>
      <c r="AZ19" s="141">
        <f>IF(AZ$2&gt;Input_Tidshorisont,BlankTegn,IF(AZ$2=0,SUM(Materialedata[[#This Row],[A1-A3/m²]:[A4/m²]]),
AY19+IF(AZ$2=Input_Tidshorisont,SUM(Materialedata[[#This Row],[C3/m²]:[C4/m²]]),IF(MOD(AZ$2,Materialedata[[#This Row],[Levetid]])=0,SUM(Materialedata[[#This Row],[A1-A3/m²]:[C4/m²]]),0))
))</f>
        <v>8.3698066666666673</v>
      </c>
      <c r="BA19" s="141">
        <f>IF(BA$2&gt;Input_Tidshorisont,BlankTegn,IF(BA$2=0,SUM(Materialedata[[#This Row],[A1-A3/m²]:[A4/m²]]),
AZ19+IF(BA$2=Input_Tidshorisont,SUM(Materialedata[[#This Row],[C3/m²]:[C4/m²]]),IF(MOD(BA$2,Materialedata[[#This Row],[Levetid]])=0,SUM(Materialedata[[#This Row],[A1-A3/m²]:[C4/m²]]),0))
))</f>
        <v>8.3698066666666673</v>
      </c>
      <c r="BB19" s="141">
        <f>IF(BB$2&gt;Input_Tidshorisont,BlankTegn,IF(BB$2=0,SUM(Materialedata[[#This Row],[A1-A3/m²]:[A4/m²]]),
BA19+IF(BB$2=Input_Tidshorisont,SUM(Materialedata[[#This Row],[C3/m²]:[C4/m²]]),IF(MOD(BB$2,Materialedata[[#This Row],[Levetid]])=0,SUM(Materialedata[[#This Row],[A1-A3/m²]:[C4/m²]]),0))
))</f>
        <v>8.3698066666666673</v>
      </c>
      <c r="BC19" s="141">
        <f>IF(BC$2&gt;Input_Tidshorisont,BlankTegn,IF(BC$2=0,SUM(Materialedata[[#This Row],[A1-A3/m²]:[A4/m²]]),
BB19+IF(BC$2=Input_Tidshorisont,SUM(Materialedata[[#This Row],[C3/m²]:[C4/m²]]),IF(MOD(BC$2,Materialedata[[#This Row],[Levetid]])=0,SUM(Materialedata[[#This Row],[A1-A3/m²]:[C4/m²]]),0))
))</f>
        <v>8.3698066666666673</v>
      </c>
      <c r="BD19" s="141">
        <f>IF(BD$2&gt;Input_Tidshorisont,BlankTegn,IF(BD$2=0,SUM(Materialedata[[#This Row],[A1-A3/m²]:[A4/m²]]),
BC19+IF(BD$2=Input_Tidshorisont,SUM(Materialedata[[#This Row],[C3/m²]:[C4/m²]]),IF(MOD(BD$2,Materialedata[[#This Row],[Levetid]])=0,SUM(Materialedata[[#This Row],[A1-A3/m²]:[C4/m²]]),0))
))</f>
        <v>8.3698066666666673</v>
      </c>
      <c r="BE19" s="141">
        <f>IF(BE$2&gt;Input_Tidshorisont,BlankTegn,IF(BE$2=0,SUM(Materialedata[[#This Row],[A1-A3/m²]:[A4/m²]]),
BD19+IF(BE$2=Input_Tidshorisont,SUM(Materialedata[[#This Row],[C3/m²]:[C4/m²]]),IF(MOD(BE$2,Materialedata[[#This Row],[Levetid]])=0,SUM(Materialedata[[#This Row],[A1-A3/m²]:[C4/m²]]),0))
))</f>
        <v>8.3698066666666673</v>
      </c>
      <c r="BF19" s="141">
        <f>IF(BF$2&gt;Input_Tidshorisont,BlankTegn,IF(BF$2=0,SUM(Materialedata[[#This Row],[A1-A3/m²]:[A4/m²]]),
BE19+IF(BF$2=Input_Tidshorisont,SUM(Materialedata[[#This Row],[C3/m²]:[C4/m²]]),IF(MOD(BF$2,Materialedata[[#This Row],[Levetid]])=0,SUM(Materialedata[[#This Row],[A1-A3/m²]:[C4/m²]]),0))
))</f>
        <v>8.3698066666666673</v>
      </c>
      <c r="BG19" s="141">
        <f>IF(BG$2&gt;Input_Tidshorisont,BlankTegn,IF(BG$2=0,SUM(Materialedata[[#This Row],[A1-A3/m²]:[A4/m²]]),
BF19+IF(BG$2=Input_Tidshorisont,SUM(Materialedata[[#This Row],[C3/m²]:[C4/m²]]),IF(MOD(BG$2,Materialedata[[#This Row],[Levetid]])=0,SUM(Materialedata[[#This Row],[A1-A3/m²]:[C4/m²]]),0))
))</f>
        <v>8.3698066666666673</v>
      </c>
      <c r="BH19" s="141">
        <f>IF(BH$2&gt;Input_Tidshorisont,BlankTegn,IF(BH$2=0,SUM(Materialedata[[#This Row],[A1-A3/m²]:[A4/m²]]),
BG19+IF(BH$2=Input_Tidshorisont,SUM(Materialedata[[#This Row],[C3/m²]:[C4/m²]]),IF(MOD(BH$2,Materialedata[[#This Row],[Levetid]])=0,SUM(Materialedata[[#This Row],[A1-A3/m²]:[C4/m²]]),0))
))</f>
        <v>8.3698066666666673</v>
      </c>
      <c r="BI19" s="141">
        <f>IF(BI$2&gt;Input_Tidshorisont,BlankTegn,IF(BI$2=0,SUM(Materialedata[[#This Row],[A1-A3/m²]:[A4/m²]]),
BH19+IF(BI$2=Input_Tidshorisont,SUM(Materialedata[[#This Row],[C3/m²]:[C4/m²]]),IF(MOD(BI$2,Materialedata[[#This Row],[Levetid]])=0,SUM(Materialedata[[#This Row],[A1-A3/m²]:[C4/m²]]),0))
))</f>
        <v>8.3698066666666673</v>
      </c>
      <c r="BJ19" s="141">
        <f>IF(BJ$2&gt;Input_Tidshorisont,BlankTegn,IF(BJ$2=0,SUM(Materialedata[[#This Row],[A1-A3/m²]:[A4/m²]]),
BI19+IF(BJ$2=Input_Tidshorisont,SUM(Materialedata[[#This Row],[C3/m²]:[C4/m²]]),IF(MOD(BJ$2,Materialedata[[#This Row],[Levetid]])=0,SUM(Materialedata[[#This Row],[A1-A3/m²]:[C4/m²]]),0))
))</f>
        <v>8.3698066666666673</v>
      </c>
      <c r="BK19" s="141">
        <f>IF(BK$2&gt;Input_Tidshorisont,BlankTegn,IF(BK$2=0,SUM(Materialedata[[#This Row],[A1-A3/m²]:[A4/m²]]),
BJ19+IF(BK$2=Input_Tidshorisont,SUM(Materialedata[[#This Row],[C3/m²]:[C4/m²]]),IF(MOD(BK$2,Materialedata[[#This Row],[Levetid]])=0,SUM(Materialedata[[#This Row],[A1-A3/m²]:[C4/m²]]),0))
))</f>
        <v>8.3698066666666673</v>
      </c>
      <c r="BL19" s="141">
        <f>IF(BL$2&gt;Input_Tidshorisont,BlankTegn,IF(BL$2=0,SUM(Materialedata[[#This Row],[A1-A3/m²]:[A4/m²]]),
BK19+IF(BL$2=Input_Tidshorisont,SUM(Materialedata[[#This Row],[C3/m²]:[C4/m²]]),IF(MOD(BL$2,Materialedata[[#This Row],[Levetid]])=0,SUM(Materialedata[[#This Row],[A1-A3/m²]:[C4/m²]]),0))
))</f>
        <v>8.3698066666666673</v>
      </c>
      <c r="BM19" s="141">
        <f>IF(BM$2&gt;Input_Tidshorisont,BlankTegn,IF(BM$2=0,SUM(Materialedata[[#This Row],[A1-A3/m²]:[A4/m²]]),
BL19+IF(BM$2=Input_Tidshorisont,SUM(Materialedata[[#This Row],[C3/m²]:[C4/m²]]),IF(MOD(BM$2,Materialedata[[#This Row],[Levetid]])=0,SUM(Materialedata[[#This Row],[A1-A3/m²]:[C4/m²]]),0))
))</f>
        <v>8.3698066666666673</v>
      </c>
      <c r="BN19" s="141">
        <f>IF(BN$2&gt;Input_Tidshorisont,BlankTegn,IF(BN$2=0,SUM(Materialedata[[#This Row],[A1-A3/m²]:[A4/m²]]),
BM19+IF(BN$2=Input_Tidshorisont,SUM(Materialedata[[#This Row],[C3/m²]:[C4/m²]]),IF(MOD(BN$2,Materialedata[[#This Row],[Levetid]])=0,SUM(Materialedata[[#This Row],[A1-A3/m²]:[C4/m²]]),0))
))</f>
        <v>8.3698066666666673</v>
      </c>
      <c r="BO19" s="141">
        <f>IF(BO$2&gt;Input_Tidshorisont,BlankTegn,IF(BO$2=0,SUM(Materialedata[[#This Row],[A1-A3/m²]:[A4/m²]]),
BN19+IF(BO$2=Input_Tidshorisont,SUM(Materialedata[[#This Row],[C3/m²]:[C4/m²]]),IF(MOD(BO$2,Materialedata[[#This Row],[Levetid]])=0,SUM(Materialedata[[#This Row],[A1-A3/m²]:[C4/m²]]),0))
))</f>
        <v>8.3698066666666673</v>
      </c>
      <c r="BP19" s="141">
        <f>IF(BP$2&gt;Input_Tidshorisont,BlankTegn,IF(BP$2=0,SUM(Materialedata[[#This Row],[A1-A3/m²]:[A4/m²]]),
BO19+IF(BP$2=Input_Tidshorisont,SUM(Materialedata[[#This Row],[C3/m²]:[C4/m²]]),IF(MOD(BP$2,Materialedata[[#This Row],[Levetid]])=0,SUM(Materialedata[[#This Row],[A1-A3/m²]:[C4/m²]]),0))
))</f>
        <v>8.3698066666666673</v>
      </c>
      <c r="BQ19" s="141">
        <f>IF(BQ$2&gt;Input_Tidshorisont,BlankTegn,IF(BQ$2=0,SUM(Materialedata[[#This Row],[A1-A3/m²]:[A4/m²]]),
BP19+IF(BQ$2=Input_Tidshorisont,SUM(Materialedata[[#This Row],[C3/m²]:[C4/m²]]),IF(MOD(BQ$2,Materialedata[[#This Row],[Levetid]])=0,SUM(Materialedata[[#This Row],[A1-A3/m²]:[C4/m²]]),0))
))</f>
        <v>8.3698066666666673</v>
      </c>
      <c r="BR19" s="141">
        <f>IF(BR$2&gt;Input_Tidshorisont,BlankTegn,IF(BR$2=0,SUM(Materialedata[[#This Row],[A1-A3/m²]:[A4/m²]]),
BQ19+IF(BR$2=Input_Tidshorisont,SUM(Materialedata[[#This Row],[C3/m²]:[C4/m²]]),IF(MOD(BR$2,Materialedata[[#This Row],[Levetid]])=0,SUM(Materialedata[[#This Row],[A1-A3/m²]:[C4/m²]]),0))
))</f>
        <v>8.3698066666666673</v>
      </c>
      <c r="BS19" s="141">
        <f>IF(BS$2&gt;Input_Tidshorisont,BlankTegn,IF(BS$2=0,SUM(Materialedata[[#This Row],[A1-A3/m²]:[A4/m²]]),
BR19+IF(BS$2=Input_Tidshorisont,SUM(Materialedata[[#This Row],[C3/m²]:[C4/m²]]),IF(MOD(BS$2,Materialedata[[#This Row],[Levetid]])=0,SUM(Materialedata[[#This Row],[A1-A3/m²]:[C4/m²]]),0))
))</f>
        <v>8.3698066666666673</v>
      </c>
      <c r="BT19" s="141">
        <f>IF(BT$2&gt;Input_Tidshorisont,BlankTegn,IF(BT$2=0,SUM(Materialedata[[#This Row],[A1-A3/m²]:[A4/m²]]),
BS19+IF(BT$2=Input_Tidshorisont,SUM(Materialedata[[#This Row],[C3/m²]:[C4/m²]]),IF(MOD(BT$2,Materialedata[[#This Row],[Levetid]])=0,SUM(Materialedata[[#This Row],[A1-A3/m²]:[C4/m²]]),0))
))</f>
        <v>8.3698066666666673</v>
      </c>
      <c r="BU19" s="141">
        <f>IF(BU$2&gt;Input_Tidshorisont,BlankTegn,IF(BU$2=0,SUM(Materialedata[[#This Row],[A1-A3/m²]:[A4/m²]]),
BT19+IF(BU$2=Input_Tidshorisont,SUM(Materialedata[[#This Row],[C3/m²]:[C4/m²]]),IF(MOD(BU$2,Materialedata[[#This Row],[Levetid]])=0,SUM(Materialedata[[#This Row],[A1-A3/m²]:[C4/m²]]),0))
))</f>
        <v>8.3698066666666673</v>
      </c>
      <c r="BV19" s="141">
        <f>IF(BV$2&gt;Input_Tidshorisont,BlankTegn,IF(BV$2=0,SUM(Materialedata[[#This Row],[A1-A3/m²]:[A4/m²]]),
BU19+IF(BV$2=Input_Tidshorisont,SUM(Materialedata[[#This Row],[C3/m²]:[C4/m²]]),IF(MOD(BV$2,Materialedata[[#This Row],[Levetid]])=0,SUM(Materialedata[[#This Row],[A1-A3/m²]:[C4/m²]]),0))
))</f>
        <v>8.3698066666666673</v>
      </c>
      <c r="BW19" s="141">
        <f>IF(BW$2&gt;Input_Tidshorisont,BlankTegn,IF(BW$2=0,SUM(Materialedata[[#This Row],[A1-A3/m²]:[A4/m²]]),
BV19+IF(BW$2=Input_Tidshorisont,SUM(Materialedata[[#This Row],[C3/m²]:[C4/m²]]),IF(MOD(BW$2,Materialedata[[#This Row],[Levetid]])=0,SUM(Materialedata[[#This Row],[A1-A3/m²]:[C4/m²]]),0))
))</f>
        <v>8.3698066666666673</v>
      </c>
      <c r="BX19" s="141">
        <f>IF(BX$2&gt;Input_Tidshorisont,BlankTegn,IF(BX$2=0,SUM(Materialedata[[#This Row],[A1-A3/m²]:[A4/m²]]),
BW19+IF(BX$2=Input_Tidshorisont,SUM(Materialedata[[#This Row],[C3/m²]:[C4/m²]]),IF(MOD(BX$2,Materialedata[[#This Row],[Levetid]])=0,SUM(Materialedata[[#This Row],[A1-A3/m²]:[C4/m²]]),0))
))</f>
        <v>8.3698066666666673</v>
      </c>
      <c r="BY19" s="141">
        <f>IF(BY$2&gt;Input_Tidshorisont,BlankTegn,IF(BY$2=0,SUM(Materialedata[[#This Row],[A1-A3/m²]:[A4/m²]]),
BX19+IF(BY$2=Input_Tidshorisont,SUM(Materialedata[[#This Row],[C3/m²]:[C4/m²]]),IF(MOD(BY$2,Materialedata[[#This Row],[Levetid]])=0,SUM(Materialedata[[#This Row],[A1-A3/m²]:[C4/m²]]),0))
))</f>
        <v>8.3698066666666673</v>
      </c>
      <c r="BZ19" s="141">
        <f>IF(BZ$2&gt;Input_Tidshorisont,BlankTegn,IF(BZ$2=0,SUM(Materialedata[[#This Row],[A1-A3/m²]:[A4/m²]]),
BY19+IF(BZ$2=Input_Tidshorisont,SUM(Materialedata[[#This Row],[C3/m²]:[C4/m²]]),IF(MOD(BZ$2,Materialedata[[#This Row],[Levetid]])=0,SUM(Materialedata[[#This Row],[A1-A3/m²]:[C4/m²]]),0))
))</f>
        <v>8.3698066666666673</v>
      </c>
      <c r="CA19" s="141">
        <f>IF(CA$2&gt;Input_Tidshorisont,BlankTegn,IF(CA$2=0,SUM(Materialedata[[#This Row],[A1-A3/m²]:[A4/m²]]),
BZ19+IF(CA$2=Input_Tidshorisont,SUM(Materialedata[[#This Row],[C3/m²]:[C4/m²]]),IF(MOD(CA$2,Materialedata[[#This Row],[Levetid]])=0,SUM(Materialedata[[#This Row],[A1-A3/m²]:[C4/m²]]),0))
))</f>
        <v>8.3698066666666673</v>
      </c>
      <c r="CB19" s="141">
        <f>IF(CB$2&gt;Input_Tidshorisont,BlankTegn,IF(CB$2=0,SUM(Materialedata[[#This Row],[A1-A3/m²]:[A4/m²]]),
CA19+IF(CB$2=Input_Tidshorisont,SUM(Materialedata[[#This Row],[C3/m²]:[C4/m²]]),IF(MOD(CB$2,Materialedata[[#This Row],[Levetid]])=0,SUM(Materialedata[[#This Row],[A1-A3/m²]:[C4/m²]]),0))
))</f>
        <v>8.3698066666666673</v>
      </c>
      <c r="CC19" s="141">
        <f>IF(CC$2&gt;Input_Tidshorisont,BlankTegn,IF(CC$2=0,SUM(Materialedata[[#This Row],[A1-A3/m²]:[A4/m²]]),
CB19+IF(CC$2=Input_Tidshorisont,SUM(Materialedata[[#This Row],[C3/m²]:[C4/m²]]),IF(MOD(CC$2,Materialedata[[#This Row],[Levetid]])=0,SUM(Materialedata[[#This Row],[A1-A3/m²]:[C4/m²]]),0))
))</f>
        <v>8.3698066666666673</v>
      </c>
      <c r="CD19" s="141">
        <f>IF(CD$2&gt;Input_Tidshorisont,BlankTegn,IF(CD$2=0,SUM(Materialedata[[#This Row],[A1-A3/m²]:[A4/m²]]),
CC19+IF(CD$2=Input_Tidshorisont,SUM(Materialedata[[#This Row],[C3/m²]:[C4/m²]]),IF(MOD(CD$2,Materialedata[[#This Row],[Levetid]])=0,SUM(Materialedata[[#This Row],[A1-A3/m²]:[C4/m²]]),0))
))</f>
        <v>8.3698066666666673</v>
      </c>
      <c r="CE19" s="141">
        <f>IF(CE$2&gt;Input_Tidshorisont,BlankTegn,IF(CE$2=0,SUM(Materialedata[[#This Row],[A1-A3/m²]:[A4/m²]]),
CD19+IF(CE$2=Input_Tidshorisont,SUM(Materialedata[[#This Row],[C3/m²]:[C4/m²]]),IF(MOD(CE$2,Materialedata[[#This Row],[Levetid]])=0,SUM(Materialedata[[#This Row],[A1-A3/m²]:[C4/m²]]),0))
))</f>
        <v>8.3698066666666673</v>
      </c>
      <c r="CF19" s="141">
        <f>IF(CF$2&gt;Input_Tidshorisont,BlankTegn,IF(CF$2=0,SUM(Materialedata[[#This Row],[A1-A3/m²]:[A4/m²]]),
CE19+IF(CF$2=Input_Tidshorisont,SUM(Materialedata[[#This Row],[C3/m²]:[C4/m²]]),IF(MOD(CF$2,Materialedata[[#This Row],[Levetid]])=0,SUM(Materialedata[[#This Row],[A1-A3/m²]:[C4/m²]]),0))
))</f>
        <v>8.3698066666666673</v>
      </c>
      <c r="CG19" s="141">
        <f>IF(CG$2&gt;Input_Tidshorisont,BlankTegn,IF(CG$2=0,SUM(Materialedata[[#This Row],[A1-A3/m²]:[A4/m²]]),
CF19+IF(CG$2=Input_Tidshorisont,SUM(Materialedata[[#This Row],[C3/m²]:[C4/m²]]),IF(MOD(CG$2,Materialedata[[#This Row],[Levetid]])=0,SUM(Materialedata[[#This Row],[A1-A3/m²]:[C4/m²]]),0))
))</f>
        <v>8.3698066666666673</v>
      </c>
      <c r="CH19" s="141">
        <f>IF(CH$2&gt;Input_Tidshorisont,BlankTegn,IF(CH$2=0,SUM(Materialedata[[#This Row],[A1-A3/m²]:[A4/m²]]),
CG19+IF(CH$2=Input_Tidshorisont,SUM(Materialedata[[#This Row],[C3/m²]:[C4/m²]]),IF(MOD(CH$2,Materialedata[[#This Row],[Levetid]])=0,SUM(Materialedata[[#This Row],[A1-A3/m²]:[C4/m²]]),0))
))</f>
        <v>8.3803505666666673</v>
      </c>
      <c r="CI19" s="141" t="str">
        <f>IF(CI$2&gt;Input_Tidshorisont,BlankTegn,IF(CI$2=0,SUM(Materialedata[[#This Row],[A1-A3/m²]:[A4/m²]]),
CH19+IF(CI$2=Input_Tidshorisont,SUM(Materialedata[[#This Row],[C3/m²]:[C4/m²]]),IF(MOD(CI$2,Materialedata[[#This Row],[Levetid]])=0,SUM(Materialedata[[#This Row],[A1-A3/m²]:[C4/m²]]),0))
))</f>
        <v>.</v>
      </c>
      <c r="CJ19" s="141" t="str">
        <f>IF(CJ$2&gt;Input_Tidshorisont,BlankTegn,IF(CJ$2=0,SUM(Materialedata[[#This Row],[A1-A3/m²]:[A4/m²]]),
CI19+IF(CJ$2=Input_Tidshorisont,SUM(Materialedata[[#This Row],[C3/m²]:[C4/m²]]),IF(MOD(CJ$2,Materialedata[[#This Row],[Levetid]])=0,SUM(Materialedata[[#This Row],[A1-A3/m²]:[C4/m²]]),0))
))</f>
        <v>.</v>
      </c>
      <c r="CK19" s="141" t="str">
        <f>IF(CK$2&gt;Input_Tidshorisont,BlankTegn,IF(CK$2=0,SUM(Materialedata[[#This Row],[A1-A3/m²]:[A4/m²]]),
CJ19+IF(CK$2=Input_Tidshorisont,SUM(Materialedata[[#This Row],[C3/m²]:[C4/m²]]),IF(MOD(CK$2,Materialedata[[#This Row],[Levetid]])=0,SUM(Materialedata[[#This Row],[A1-A3/m²]:[C4/m²]]),0))
))</f>
        <v>.</v>
      </c>
      <c r="CL19" s="141" t="str">
        <f>IF(CL$2&gt;Input_Tidshorisont,BlankTegn,IF(CL$2=0,SUM(Materialedata[[#This Row],[A1-A3/m²]:[A4/m²]]),
CK19+IF(CL$2=Input_Tidshorisont,SUM(Materialedata[[#This Row],[C3/m²]:[C4/m²]]),IF(MOD(CL$2,Materialedata[[#This Row],[Levetid]])=0,SUM(Materialedata[[#This Row],[A1-A3/m²]:[C4/m²]]),0))
))</f>
        <v>.</v>
      </c>
      <c r="CM19" s="141" t="str">
        <f>IF(CM$2&gt;Input_Tidshorisont,BlankTegn,IF(CM$2=0,SUM(Materialedata[[#This Row],[A1-A3/m²]:[A4/m²]]),
CL19+IF(CM$2=Input_Tidshorisont,SUM(Materialedata[[#This Row],[C3/m²]:[C4/m²]]),IF(MOD(CM$2,Materialedata[[#This Row],[Levetid]])=0,SUM(Materialedata[[#This Row],[A1-A3/m²]:[C4/m²]]),0))
))</f>
        <v>.</v>
      </c>
      <c r="CN19" s="141" t="str">
        <f>IF(CN$2&gt;Input_Tidshorisont,BlankTegn,IF(CN$2=0,SUM(Materialedata[[#This Row],[A1-A3/m²]:[A4/m²]]),
CM19+IF(CN$2=Input_Tidshorisont,SUM(Materialedata[[#This Row],[C3/m²]:[C4/m²]]),IF(MOD(CN$2,Materialedata[[#This Row],[Levetid]])=0,SUM(Materialedata[[#This Row],[A1-A3/m²]:[C4/m²]]),0))
))</f>
        <v>.</v>
      </c>
      <c r="CO19" s="141" t="str">
        <f>IF(CO$2&gt;Input_Tidshorisont,BlankTegn,IF(CO$2=0,SUM(Materialedata[[#This Row],[A1-A3/m²]:[A4/m²]]),
CN19+IF(CO$2=Input_Tidshorisont,SUM(Materialedata[[#This Row],[C3/m²]:[C4/m²]]),IF(MOD(CO$2,Materialedata[[#This Row],[Levetid]])=0,SUM(Materialedata[[#This Row],[A1-A3/m²]:[C4/m²]]),0))
))</f>
        <v>.</v>
      </c>
      <c r="CP19" s="141" t="str">
        <f>IF(CP$2&gt;Input_Tidshorisont,BlankTegn,IF(CP$2=0,SUM(Materialedata[[#This Row],[A1-A3/m²]:[A4/m²]]),
CO19+IF(CP$2=Input_Tidshorisont,SUM(Materialedata[[#This Row],[C3/m²]:[C4/m²]]),IF(MOD(CP$2,Materialedata[[#This Row],[Levetid]])=0,SUM(Materialedata[[#This Row],[A1-A3/m²]:[C4/m²]]),0))
))</f>
        <v>.</v>
      </c>
      <c r="CQ19" s="141" t="str">
        <f>IF(CQ$2&gt;Input_Tidshorisont,BlankTegn,IF(CQ$2=0,SUM(Materialedata[[#This Row],[A1-A3/m²]:[A4/m²]]),
CP19+IF(CQ$2=Input_Tidshorisont,SUM(Materialedata[[#This Row],[C3/m²]:[C4/m²]]),IF(MOD(CQ$2,Materialedata[[#This Row],[Levetid]])=0,SUM(Materialedata[[#This Row],[A1-A3/m²]:[C4/m²]]),0))
))</f>
        <v>.</v>
      </c>
      <c r="CR19" s="141" t="str">
        <f>IF(CR$2&gt;Input_Tidshorisont,BlankTegn,IF(CR$2=0,SUM(Materialedata[[#This Row],[A1-A3/m²]:[A4/m²]]),
CQ19+IF(CR$2=Input_Tidshorisont,SUM(Materialedata[[#This Row],[C3/m²]:[C4/m²]]),IF(MOD(CR$2,Materialedata[[#This Row],[Levetid]])=0,SUM(Materialedata[[#This Row],[A1-A3/m²]:[C4/m²]]),0))
))</f>
        <v>.</v>
      </c>
      <c r="CS19" s="141" t="str">
        <f>IF(CS$2&gt;Input_Tidshorisont,BlankTegn,IF(CS$2=0,SUM(Materialedata[[#This Row],[A1-A3/m²]:[A4/m²]]),
CR19+IF(CS$2=Input_Tidshorisont,SUM(Materialedata[[#This Row],[C3/m²]:[C4/m²]]),IF(MOD(CS$2,Materialedata[[#This Row],[Levetid]])=0,SUM(Materialedata[[#This Row],[A1-A3/m²]:[C4/m²]]),0))
))</f>
        <v>.</v>
      </c>
      <c r="CT19" s="141" t="str">
        <f>IF(CT$2&gt;Input_Tidshorisont,BlankTegn,IF(CT$2=0,SUM(Materialedata[[#This Row],[A1-A3/m²]:[A4/m²]]),
CS19+IF(CT$2=Input_Tidshorisont,SUM(Materialedata[[#This Row],[C3/m²]:[C4/m²]]),IF(MOD(CT$2,Materialedata[[#This Row],[Levetid]])=0,SUM(Materialedata[[#This Row],[A1-A3/m²]:[C4/m²]]),0))
))</f>
        <v>.</v>
      </c>
      <c r="CU19" s="141" t="str">
        <f>IF(CU$2&gt;Input_Tidshorisont,BlankTegn,IF(CU$2=0,SUM(Materialedata[[#This Row],[A1-A3/m²]:[A4/m²]]),
CT19+IF(CU$2=Input_Tidshorisont,SUM(Materialedata[[#This Row],[C3/m²]:[C4/m²]]),IF(MOD(CU$2,Materialedata[[#This Row],[Levetid]])=0,SUM(Materialedata[[#This Row],[A1-A3/m²]:[C4/m²]]),0))
))</f>
        <v>.</v>
      </c>
      <c r="CV19" s="141" t="str">
        <f>IF(CV$2&gt;Input_Tidshorisont,BlankTegn,IF(CV$2=0,SUM(Materialedata[[#This Row],[A1-A3/m²]:[A4/m²]]),
CU19+IF(CV$2=Input_Tidshorisont,SUM(Materialedata[[#This Row],[C3/m²]:[C4/m²]]),IF(MOD(CV$2,Materialedata[[#This Row],[Levetid]])=0,SUM(Materialedata[[#This Row],[A1-A3/m²]:[C4/m²]]),0))
))</f>
        <v>.</v>
      </c>
      <c r="CW19" s="141" t="str">
        <f>IF(CW$2&gt;Input_Tidshorisont,BlankTegn,IF(CW$2=0,SUM(Materialedata[[#This Row],[A1-A3/m²]:[A4/m²]]),
CV19+IF(CW$2=Input_Tidshorisont,SUM(Materialedata[[#This Row],[C3/m²]:[C4/m²]]),IF(MOD(CW$2,Materialedata[[#This Row],[Levetid]])=0,SUM(Materialedata[[#This Row],[A1-A3/m²]:[C4/m²]]),0))
))</f>
        <v>.</v>
      </c>
      <c r="CX19" s="141" t="str">
        <f>IF(CX$2&gt;Input_Tidshorisont,BlankTegn,IF(CX$2=0,SUM(Materialedata[[#This Row],[A1-A3/m²]:[A4/m²]]),
CW19+IF(CX$2=Input_Tidshorisont,SUM(Materialedata[[#This Row],[C3/m²]:[C4/m²]]),IF(MOD(CX$2,Materialedata[[#This Row],[Levetid]])=0,SUM(Materialedata[[#This Row],[A1-A3/m²]:[C4/m²]]),0))
))</f>
        <v>.</v>
      </c>
      <c r="CY19" s="141" t="str">
        <f>IF(CY$2&gt;Input_Tidshorisont,BlankTegn,IF(CY$2=0,SUM(Materialedata[[#This Row],[A1-A3/m²]:[A4/m²]]),
CX19+IF(CY$2=Input_Tidshorisont,SUM(Materialedata[[#This Row],[C3/m²]:[C4/m²]]),IF(MOD(CY$2,Materialedata[[#This Row],[Levetid]])=0,SUM(Materialedata[[#This Row],[A1-A3/m²]:[C4/m²]]),0))
))</f>
        <v>.</v>
      </c>
      <c r="CZ19" s="141" t="str">
        <f>IF(CZ$2&gt;Input_Tidshorisont,BlankTegn,IF(CZ$2=0,SUM(Materialedata[[#This Row],[A1-A3/m²]:[A4/m²]]),
CY19+IF(CZ$2=Input_Tidshorisont,SUM(Materialedata[[#This Row],[C3/m²]:[C4/m²]]),IF(MOD(CZ$2,Materialedata[[#This Row],[Levetid]])=0,SUM(Materialedata[[#This Row],[A1-A3/m²]:[C4/m²]]),0))
))</f>
        <v>.</v>
      </c>
      <c r="DA19" s="141" t="str">
        <f>IF(DA$2&gt;Input_Tidshorisont,BlankTegn,IF(DA$2=0,SUM(Materialedata[[#This Row],[A1-A3/m²]:[A4/m²]]),
CZ19+IF(DA$2=Input_Tidshorisont,SUM(Materialedata[[#This Row],[C3/m²]:[C4/m²]]),IF(MOD(DA$2,Materialedata[[#This Row],[Levetid]])=0,SUM(Materialedata[[#This Row],[A1-A3/m²]:[C4/m²]]),0))
))</f>
        <v>.</v>
      </c>
      <c r="DB19" s="141" t="str">
        <f>IF(DB$2&gt;Input_Tidshorisont,BlankTegn,IF(DB$2=0,SUM(Materialedata[[#This Row],[A1-A3/m²]:[A4/m²]]),
DA19+IF(DB$2=Input_Tidshorisont,SUM(Materialedata[[#This Row],[C3/m²]:[C4/m²]]),IF(MOD(DB$2,Materialedata[[#This Row],[Levetid]])=0,SUM(Materialedata[[#This Row],[A1-A3/m²]:[C4/m²]]),0))
))</f>
        <v>.</v>
      </c>
      <c r="DC19" s="141" t="str">
        <f>IF(DC$2&gt;Input_Tidshorisont,BlankTegn,IF(DC$2=0,SUM(Materialedata[[#This Row],[A1-A3/m²]:[A4/m²]]),
DB19+IF(DC$2=Input_Tidshorisont,SUM(Materialedata[[#This Row],[C3/m²]:[C4/m²]]),IF(MOD(DC$2,Materialedata[[#This Row],[Levetid]])=0,SUM(Materialedata[[#This Row],[A1-A3/m²]:[C4/m²]]),0))
))</f>
        <v>.</v>
      </c>
      <c r="DD19" s="141" t="str">
        <f>IF(DD$2&gt;Input_Tidshorisont,BlankTegn,IF(DD$2=0,SUM(Materialedata[[#This Row],[A1-A3/m²]:[A4/m²]]),
DC19+IF(DD$2=Input_Tidshorisont,SUM(Materialedata[[#This Row],[C3/m²]:[C4/m²]]),IF(MOD(DD$2,Materialedata[[#This Row],[Levetid]])=0,SUM(Materialedata[[#This Row],[A1-A3/m²]:[C4/m²]]),0))
))</f>
        <v>.</v>
      </c>
      <c r="DE19" s="141" t="str">
        <f>IF(DE$2&gt;Input_Tidshorisont,BlankTegn,IF(DE$2=0,SUM(Materialedata[[#This Row],[A1-A3/m²]:[A4/m²]]),
DD19+IF(DE$2=Input_Tidshorisont,SUM(Materialedata[[#This Row],[C3/m²]:[C4/m²]]),IF(MOD(DE$2,Materialedata[[#This Row],[Levetid]])=0,SUM(Materialedata[[#This Row],[A1-A3/m²]:[C4/m²]]),0))
))</f>
        <v>.</v>
      </c>
      <c r="DF19" s="141" t="str">
        <f>IF(DF$2&gt;Input_Tidshorisont,BlankTegn,IF(DF$2=0,SUM(Materialedata[[#This Row],[A1-A3/m²]:[A4/m²]]),
DE19+IF(DF$2=Input_Tidshorisont,SUM(Materialedata[[#This Row],[C3/m²]:[C4/m²]]),IF(MOD(DF$2,Materialedata[[#This Row],[Levetid]])=0,SUM(Materialedata[[#This Row],[A1-A3/m²]:[C4/m²]]),0))
))</f>
        <v>.</v>
      </c>
      <c r="DG19" s="141" t="str">
        <f>IF(DG$2&gt;Input_Tidshorisont,BlankTegn,IF(DG$2=0,SUM(Materialedata[[#This Row],[A1-A3/m²]:[A4/m²]]),
DF19+IF(DG$2=Input_Tidshorisont,SUM(Materialedata[[#This Row],[C3/m²]:[C4/m²]]),IF(MOD(DG$2,Materialedata[[#This Row],[Levetid]])=0,SUM(Materialedata[[#This Row],[A1-A3/m²]:[C4/m²]]),0))
))</f>
        <v>.</v>
      </c>
      <c r="DH19" s="141" t="str">
        <f>IF(DH$2&gt;Input_Tidshorisont,BlankTegn,IF(DH$2=0,SUM(Materialedata[[#This Row],[A1-A3/m²]:[A4/m²]]),
DG19+IF(DH$2=Input_Tidshorisont,SUM(Materialedata[[#This Row],[C3/m²]:[C4/m²]]),IF(MOD(DH$2,Materialedata[[#This Row],[Levetid]])=0,SUM(Materialedata[[#This Row],[A1-A3/m²]:[C4/m²]]),0))
))</f>
        <v>.</v>
      </c>
      <c r="DI19" s="141" t="str">
        <f>IF(DI$2&gt;Input_Tidshorisont,BlankTegn,IF(DI$2=0,SUM(Materialedata[[#This Row],[A1-A3/m²]:[A4/m²]]),
DH19+IF(DI$2=Input_Tidshorisont,SUM(Materialedata[[#This Row],[C3/m²]:[C4/m²]]),IF(MOD(DI$2,Materialedata[[#This Row],[Levetid]])=0,SUM(Materialedata[[#This Row],[A1-A3/m²]:[C4/m²]]),0))
))</f>
        <v>.</v>
      </c>
      <c r="DJ19" s="141" t="str">
        <f>IF(DJ$2&gt;Input_Tidshorisont,BlankTegn,IF(DJ$2=0,SUM(Materialedata[[#This Row],[A1-A3/m²]:[A4/m²]]),
DI19+IF(DJ$2=Input_Tidshorisont,SUM(Materialedata[[#This Row],[C3/m²]:[C4/m²]]),IF(MOD(DJ$2,Materialedata[[#This Row],[Levetid]])=0,SUM(Materialedata[[#This Row],[A1-A3/m²]:[C4/m²]]),0))
))</f>
        <v>.</v>
      </c>
      <c r="DK19" s="141" t="str">
        <f>IF(DK$2&gt;Input_Tidshorisont,BlankTegn,IF(DK$2=0,SUM(Materialedata[[#This Row],[A1-A3/m²]:[A4/m²]]),
DJ19+IF(DK$2=Input_Tidshorisont,SUM(Materialedata[[#This Row],[C3/m²]:[C4/m²]]),IF(MOD(DK$2,Materialedata[[#This Row],[Levetid]])=0,SUM(Materialedata[[#This Row],[A1-A3/m²]:[C4/m²]]),0))
))</f>
        <v>.</v>
      </c>
      <c r="DL19" s="141" t="str">
        <f>IF(DL$2&gt;Input_Tidshorisont,BlankTegn,IF(DL$2=0,SUM(Materialedata[[#This Row],[A1-A3/m²]:[A4/m²]]),
DK19+IF(DL$2=Input_Tidshorisont,SUM(Materialedata[[#This Row],[C3/m²]:[C4/m²]]),IF(MOD(DL$2,Materialedata[[#This Row],[Levetid]])=0,SUM(Materialedata[[#This Row],[A1-A3/m²]:[C4/m²]]),0))
))</f>
        <v>.</v>
      </c>
      <c r="DM19" s="19"/>
    </row>
    <row r="20" spans="1:117" ht="24">
      <c r="A20" s="182" t="s">
        <v>248</v>
      </c>
      <c r="B20" s="182" t="s">
        <v>154</v>
      </c>
      <c r="C20" s="148" t="s">
        <v>131</v>
      </c>
      <c r="D20" s="184"/>
      <c r="E20" s="180" t="s">
        <v>285</v>
      </c>
      <c r="F20" s="182" t="s">
        <v>156</v>
      </c>
      <c r="G20" s="182">
        <v>60</v>
      </c>
      <c r="H20" s="183">
        <v>30</v>
      </c>
      <c r="I20" s="184">
        <f>0.2*1*1</f>
        <v>0.2</v>
      </c>
      <c r="J20" s="184" t="s">
        <v>232</v>
      </c>
      <c r="K20" s="182">
        <v>0.59</v>
      </c>
      <c r="L20" s="182" t="s">
        <v>221</v>
      </c>
      <c r="M20" s="185">
        <f>IF(ISBLANK(Materialedata[[#This Row],[A4-gruppe]]),BlankTegn,INDEX(Byggeproces[GWP],MATCH(Materialedata[[#This Row],[A4-gruppe]],Byggeproces[Gruppe/Undergruppe],0)))</f>
        <v>1.9599999999999999E-2</v>
      </c>
      <c r="N20" s="182">
        <v>0</v>
      </c>
      <c r="O20" s="182">
        <v>1.7999999999999999E-2</v>
      </c>
      <c r="P20" s="182">
        <v>-2.3199999999999998E-2</v>
      </c>
      <c r="Q20" s="277">
        <f>Materialedata[[#This Row],[A1-A3/standardenhed]]/0.037*Materialedata[[#This Row],[Mængde/m²]]</f>
        <v>3.1891891891891895</v>
      </c>
      <c r="R20" s="278" cm="1">
        <f t="array" ref="R20">IFERROR(_xlfn.IFS(Materialedata[[#This Row],[Mængde-enhed]]="kg/m²",Materialedata[[#This Row],[A4/kg]]*Materialedata[[#This Row],[Mængde/m²]],Materialedata[[#This Row],[Mængde-enhed]]="m³/m²",Materialedata[[#This Row],[A4/kg]]*Materialedata[[#This Row],[Mængde/m²]]*Materialedata[[#This Row],[Densitet]]),"N/A")</f>
        <v>0.1176</v>
      </c>
      <c r="S20" s="277">
        <f>Materialedata[[#This Row],[C3/enhed]]/0.037*Materialedata[[#This Row],[Mængde/m²]]</f>
        <v>0</v>
      </c>
      <c r="T20" s="277">
        <f>Materialedata[[#This Row],[C4/enhed]]/0.037*Materialedata[[#This Row],[Mængde/m²]]</f>
        <v>9.7297297297297303E-2</v>
      </c>
      <c r="U20" s="277">
        <f>Materialedata[[#This Row],[D/enhed]]/0.037*0.2</f>
        <v>-0.12540540540540543</v>
      </c>
      <c r="V20" s="150">
        <f>IFERROR(INDEX(Range_Materiale_Genbrug,MATCH(Materialedata[[#This Row],[Komponent]],Facadekomponenter,0)),BlankTegn)</f>
        <v>0</v>
      </c>
      <c r="W20" s="150">
        <f>IFERROR(1-Materialedata[[#This Row],[Genbrug]],BlankTegn)</f>
        <v>1</v>
      </c>
      <c r="X20" s="186">
        <f>IFERROR(Materialedata[[#This Row],[A1-A3/m²_nyt]]*Materialedata[[#This Row],[Nyt]],BlankTegn)</f>
        <v>3.1891891891891895</v>
      </c>
      <c r="Y20" s="186">
        <f>Materialedata[[#This Row],[A4/m²_nyt]]</f>
        <v>0.1176</v>
      </c>
      <c r="Z20" s="186">
        <f>IFERROR(Materialedata[[#This Row],[C3/m²_nyt]]*Materialedata[[#This Row],[Nyt]],BlankTegn)</f>
        <v>0</v>
      </c>
      <c r="AA20" s="186">
        <f>IFERROR(Materialedata[[#This Row],[C4/m²_nyt]]*Materialedata[[#This Row],[Nyt]],BlankTegn)</f>
        <v>9.7297297297297303E-2</v>
      </c>
      <c r="AB20" s="186">
        <f>IFERROR(Materialedata[[#This Row],[D/m²_nyt]]*Materialedata[[#This Row],[Nyt]],BlankTegn)</f>
        <v>-0.12540540540540543</v>
      </c>
      <c r="AC20" s="187">
        <v>177.01999999999998</v>
      </c>
      <c r="AD20" s="188" t="s">
        <v>29</v>
      </c>
      <c r="AE20" s="182">
        <v>1</v>
      </c>
      <c r="AF20" s="189">
        <f>Materialedata[[#This Row],[Pris/enhed]]*Materialedata[[#This Row],[Omregning]]</f>
        <v>177.01999999999998</v>
      </c>
      <c r="AG20" s="190">
        <v>0.01</v>
      </c>
      <c r="AH20" s="191">
        <v>1</v>
      </c>
      <c r="AI20" s="162">
        <v>0</v>
      </c>
      <c r="AJ20" s="141">
        <f>IF(AJ$2&gt;Input_Tidshorisont,BlankTegn,IF(AJ$2=0,SUM(Materialedata[[#This Row],[A1-A3/m²]:[A4/m²]]),
AI20+IF(AJ$2=Input_Tidshorisont,SUM(Materialedata[[#This Row],[C3/m²]:[C4/m²]]),IF(MOD(AJ$2,Materialedata[[#This Row],[Levetid]])=0,SUM(Materialedata[[#This Row],[A1-A3/m²]:[C4/m²]]),0))
))</f>
        <v>3.3067891891891894</v>
      </c>
      <c r="AK20" s="141">
        <f>IF(AK$2&gt;Input_Tidshorisont,BlankTegn,IF(AK$2=0,SUM(Materialedata[[#This Row],[A1-A3/m²]:[A4/m²]]),
AJ20+IF(AK$2=Input_Tidshorisont,SUM(Materialedata[[#This Row],[C3/m²]:[C4/m²]]),IF(MOD(AK$2,Materialedata[[#This Row],[Levetid]])=0,SUM(Materialedata[[#This Row],[A1-A3/m²]:[C4/m²]]),0))
))</f>
        <v>3.3067891891891894</v>
      </c>
      <c r="AL20" s="141">
        <f>IF(AL$2&gt;Input_Tidshorisont,BlankTegn,IF(AL$2=0,SUM(Materialedata[[#This Row],[A1-A3/m²]:[A4/m²]]),
AK20+IF(AL$2=Input_Tidshorisont,SUM(Materialedata[[#This Row],[C3/m²]:[C4/m²]]),IF(MOD(AL$2,Materialedata[[#This Row],[Levetid]])=0,SUM(Materialedata[[#This Row],[A1-A3/m²]:[C4/m²]]),0))
))</f>
        <v>3.3067891891891894</v>
      </c>
      <c r="AM20" s="141">
        <f>IF(AM$2&gt;Input_Tidshorisont,BlankTegn,IF(AM$2=0,SUM(Materialedata[[#This Row],[A1-A3/m²]:[A4/m²]]),
AL20+IF(AM$2=Input_Tidshorisont,SUM(Materialedata[[#This Row],[C3/m²]:[C4/m²]]),IF(MOD(AM$2,Materialedata[[#This Row],[Levetid]])=0,SUM(Materialedata[[#This Row],[A1-A3/m²]:[C4/m²]]),0))
))</f>
        <v>3.3067891891891894</v>
      </c>
      <c r="AN20" s="141">
        <f>IF(AN$2&gt;Input_Tidshorisont,BlankTegn,IF(AN$2=0,SUM(Materialedata[[#This Row],[A1-A3/m²]:[A4/m²]]),
AM20+IF(AN$2=Input_Tidshorisont,SUM(Materialedata[[#This Row],[C3/m²]:[C4/m²]]),IF(MOD(AN$2,Materialedata[[#This Row],[Levetid]])=0,SUM(Materialedata[[#This Row],[A1-A3/m²]:[C4/m²]]),0))
))</f>
        <v>3.3067891891891894</v>
      </c>
      <c r="AO20" s="141">
        <f>IF(AO$2&gt;Input_Tidshorisont,BlankTegn,IF(AO$2=0,SUM(Materialedata[[#This Row],[A1-A3/m²]:[A4/m²]]),
AN20+IF(AO$2=Input_Tidshorisont,SUM(Materialedata[[#This Row],[C3/m²]:[C4/m²]]),IF(MOD(AO$2,Materialedata[[#This Row],[Levetid]])=0,SUM(Materialedata[[#This Row],[A1-A3/m²]:[C4/m²]]),0))
))</f>
        <v>3.3067891891891894</v>
      </c>
      <c r="AP20" s="141">
        <f>IF(AP$2&gt;Input_Tidshorisont,BlankTegn,IF(AP$2=0,SUM(Materialedata[[#This Row],[A1-A3/m²]:[A4/m²]]),
AO20+IF(AP$2=Input_Tidshorisont,SUM(Materialedata[[#This Row],[C3/m²]:[C4/m²]]),IF(MOD(AP$2,Materialedata[[#This Row],[Levetid]])=0,SUM(Materialedata[[#This Row],[A1-A3/m²]:[C4/m²]]),0))
))</f>
        <v>3.3067891891891894</v>
      </c>
      <c r="AQ20" s="141">
        <f>IF(AQ$2&gt;Input_Tidshorisont,BlankTegn,IF(AQ$2=0,SUM(Materialedata[[#This Row],[A1-A3/m²]:[A4/m²]]),
AP20+IF(AQ$2=Input_Tidshorisont,SUM(Materialedata[[#This Row],[C3/m²]:[C4/m²]]),IF(MOD(AQ$2,Materialedata[[#This Row],[Levetid]])=0,SUM(Materialedata[[#This Row],[A1-A3/m²]:[C4/m²]]),0))
))</f>
        <v>3.3067891891891894</v>
      </c>
      <c r="AR20" s="141">
        <f>IF(AR$2&gt;Input_Tidshorisont,BlankTegn,IF(AR$2=0,SUM(Materialedata[[#This Row],[A1-A3/m²]:[A4/m²]]),
AQ20+IF(AR$2=Input_Tidshorisont,SUM(Materialedata[[#This Row],[C3/m²]:[C4/m²]]),IF(MOD(AR$2,Materialedata[[#This Row],[Levetid]])=0,SUM(Materialedata[[#This Row],[A1-A3/m²]:[C4/m²]]),0))
))</f>
        <v>3.3067891891891894</v>
      </c>
      <c r="AS20" s="141">
        <f>IF(AS$2&gt;Input_Tidshorisont,BlankTegn,IF(AS$2=0,SUM(Materialedata[[#This Row],[A1-A3/m²]:[A4/m²]]),
AR20+IF(AS$2=Input_Tidshorisont,SUM(Materialedata[[#This Row],[C3/m²]:[C4/m²]]),IF(MOD(AS$2,Materialedata[[#This Row],[Levetid]])=0,SUM(Materialedata[[#This Row],[A1-A3/m²]:[C4/m²]]),0))
))</f>
        <v>3.3067891891891894</v>
      </c>
      <c r="AT20" s="141">
        <f>IF(AT$2&gt;Input_Tidshorisont,BlankTegn,IF(AT$2=0,SUM(Materialedata[[#This Row],[A1-A3/m²]:[A4/m²]]),
AS20+IF(AT$2=Input_Tidshorisont,SUM(Materialedata[[#This Row],[C3/m²]:[C4/m²]]),IF(MOD(AT$2,Materialedata[[#This Row],[Levetid]])=0,SUM(Materialedata[[#This Row],[A1-A3/m²]:[C4/m²]]),0))
))</f>
        <v>3.3067891891891894</v>
      </c>
      <c r="AU20" s="141">
        <f>IF(AU$2&gt;Input_Tidshorisont,BlankTegn,IF(AU$2=0,SUM(Materialedata[[#This Row],[A1-A3/m²]:[A4/m²]]),
AT20+IF(AU$2=Input_Tidshorisont,SUM(Materialedata[[#This Row],[C3/m²]:[C4/m²]]),IF(MOD(AU$2,Materialedata[[#This Row],[Levetid]])=0,SUM(Materialedata[[#This Row],[A1-A3/m²]:[C4/m²]]),0))
))</f>
        <v>3.3067891891891894</v>
      </c>
      <c r="AV20" s="141">
        <f>IF(AV$2&gt;Input_Tidshorisont,BlankTegn,IF(AV$2=0,SUM(Materialedata[[#This Row],[A1-A3/m²]:[A4/m²]]),
AU20+IF(AV$2=Input_Tidshorisont,SUM(Materialedata[[#This Row],[C3/m²]:[C4/m²]]),IF(MOD(AV$2,Materialedata[[#This Row],[Levetid]])=0,SUM(Materialedata[[#This Row],[A1-A3/m²]:[C4/m²]]),0))
))</f>
        <v>3.3067891891891894</v>
      </c>
      <c r="AW20" s="141">
        <f>IF(AW$2&gt;Input_Tidshorisont,BlankTegn,IF(AW$2=0,SUM(Materialedata[[#This Row],[A1-A3/m²]:[A4/m²]]),
AV20+IF(AW$2=Input_Tidshorisont,SUM(Materialedata[[#This Row],[C3/m²]:[C4/m²]]),IF(MOD(AW$2,Materialedata[[#This Row],[Levetid]])=0,SUM(Materialedata[[#This Row],[A1-A3/m²]:[C4/m²]]),0))
))</f>
        <v>3.3067891891891894</v>
      </c>
      <c r="AX20" s="141">
        <f>IF(AX$2&gt;Input_Tidshorisont,BlankTegn,IF(AX$2=0,SUM(Materialedata[[#This Row],[A1-A3/m²]:[A4/m²]]),
AW20+IF(AX$2=Input_Tidshorisont,SUM(Materialedata[[#This Row],[C3/m²]:[C4/m²]]),IF(MOD(AX$2,Materialedata[[#This Row],[Levetid]])=0,SUM(Materialedata[[#This Row],[A1-A3/m²]:[C4/m²]]),0))
))</f>
        <v>3.3067891891891894</v>
      </c>
      <c r="AY20" s="141">
        <f>IF(AY$2&gt;Input_Tidshorisont,BlankTegn,IF(AY$2=0,SUM(Materialedata[[#This Row],[A1-A3/m²]:[A4/m²]]),
AX20+IF(AY$2=Input_Tidshorisont,SUM(Materialedata[[#This Row],[C3/m²]:[C4/m²]]),IF(MOD(AY$2,Materialedata[[#This Row],[Levetid]])=0,SUM(Materialedata[[#This Row],[A1-A3/m²]:[C4/m²]]),0))
))</f>
        <v>3.3067891891891894</v>
      </c>
      <c r="AZ20" s="141">
        <f>IF(AZ$2&gt;Input_Tidshorisont,BlankTegn,IF(AZ$2=0,SUM(Materialedata[[#This Row],[A1-A3/m²]:[A4/m²]]),
AY20+IF(AZ$2=Input_Tidshorisont,SUM(Materialedata[[#This Row],[C3/m²]:[C4/m²]]),IF(MOD(AZ$2,Materialedata[[#This Row],[Levetid]])=0,SUM(Materialedata[[#This Row],[A1-A3/m²]:[C4/m²]]),0))
))</f>
        <v>3.3067891891891894</v>
      </c>
      <c r="BA20" s="141">
        <f>IF(BA$2&gt;Input_Tidshorisont,BlankTegn,IF(BA$2=0,SUM(Materialedata[[#This Row],[A1-A3/m²]:[A4/m²]]),
AZ20+IF(BA$2=Input_Tidshorisont,SUM(Materialedata[[#This Row],[C3/m²]:[C4/m²]]),IF(MOD(BA$2,Materialedata[[#This Row],[Levetid]])=0,SUM(Materialedata[[#This Row],[A1-A3/m²]:[C4/m²]]),0))
))</f>
        <v>3.3067891891891894</v>
      </c>
      <c r="BB20" s="141">
        <f>IF(BB$2&gt;Input_Tidshorisont,BlankTegn,IF(BB$2=0,SUM(Materialedata[[#This Row],[A1-A3/m²]:[A4/m²]]),
BA20+IF(BB$2=Input_Tidshorisont,SUM(Materialedata[[#This Row],[C3/m²]:[C4/m²]]),IF(MOD(BB$2,Materialedata[[#This Row],[Levetid]])=0,SUM(Materialedata[[#This Row],[A1-A3/m²]:[C4/m²]]),0))
))</f>
        <v>3.3067891891891894</v>
      </c>
      <c r="BC20" s="141">
        <f>IF(BC$2&gt;Input_Tidshorisont,BlankTegn,IF(BC$2=0,SUM(Materialedata[[#This Row],[A1-A3/m²]:[A4/m²]]),
BB20+IF(BC$2=Input_Tidshorisont,SUM(Materialedata[[#This Row],[C3/m²]:[C4/m²]]),IF(MOD(BC$2,Materialedata[[#This Row],[Levetid]])=0,SUM(Materialedata[[#This Row],[A1-A3/m²]:[C4/m²]]),0))
))</f>
        <v>3.3067891891891894</v>
      </c>
      <c r="BD20" s="141">
        <f>IF(BD$2&gt;Input_Tidshorisont,BlankTegn,IF(BD$2=0,SUM(Materialedata[[#This Row],[A1-A3/m²]:[A4/m²]]),
BC20+IF(BD$2=Input_Tidshorisont,SUM(Materialedata[[#This Row],[C3/m²]:[C4/m²]]),IF(MOD(BD$2,Materialedata[[#This Row],[Levetid]])=0,SUM(Materialedata[[#This Row],[A1-A3/m²]:[C4/m²]]),0))
))</f>
        <v>3.3067891891891894</v>
      </c>
      <c r="BE20" s="141">
        <f>IF(BE$2&gt;Input_Tidshorisont,BlankTegn,IF(BE$2=0,SUM(Materialedata[[#This Row],[A1-A3/m²]:[A4/m²]]),
BD20+IF(BE$2=Input_Tidshorisont,SUM(Materialedata[[#This Row],[C3/m²]:[C4/m²]]),IF(MOD(BE$2,Materialedata[[#This Row],[Levetid]])=0,SUM(Materialedata[[#This Row],[A1-A3/m²]:[C4/m²]]),0))
))</f>
        <v>3.3067891891891894</v>
      </c>
      <c r="BF20" s="141">
        <f>IF(BF$2&gt;Input_Tidshorisont,BlankTegn,IF(BF$2=0,SUM(Materialedata[[#This Row],[A1-A3/m²]:[A4/m²]]),
BE20+IF(BF$2=Input_Tidshorisont,SUM(Materialedata[[#This Row],[C3/m²]:[C4/m²]]),IF(MOD(BF$2,Materialedata[[#This Row],[Levetid]])=0,SUM(Materialedata[[#This Row],[A1-A3/m²]:[C4/m²]]),0))
))</f>
        <v>3.3067891891891894</v>
      </c>
      <c r="BG20" s="141">
        <f>IF(BG$2&gt;Input_Tidshorisont,BlankTegn,IF(BG$2=0,SUM(Materialedata[[#This Row],[A1-A3/m²]:[A4/m²]]),
BF20+IF(BG$2=Input_Tidshorisont,SUM(Materialedata[[#This Row],[C3/m²]:[C4/m²]]),IF(MOD(BG$2,Materialedata[[#This Row],[Levetid]])=0,SUM(Materialedata[[#This Row],[A1-A3/m²]:[C4/m²]]),0))
))</f>
        <v>3.3067891891891894</v>
      </c>
      <c r="BH20" s="141">
        <f>IF(BH$2&gt;Input_Tidshorisont,BlankTegn,IF(BH$2=0,SUM(Materialedata[[#This Row],[A1-A3/m²]:[A4/m²]]),
BG20+IF(BH$2=Input_Tidshorisont,SUM(Materialedata[[#This Row],[C3/m²]:[C4/m²]]),IF(MOD(BH$2,Materialedata[[#This Row],[Levetid]])=0,SUM(Materialedata[[#This Row],[A1-A3/m²]:[C4/m²]]),0))
))</f>
        <v>3.3067891891891894</v>
      </c>
      <c r="BI20" s="141">
        <f>IF(BI$2&gt;Input_Tidshorisont,BlankTegn,IF(BI$2=0,SUM(Materialedata[[#This Row],[A1-A3/m²]:[A4/m²]]),
BH20+IF(BI$2=Input_Tidshorisont,SUM(Materialedata[[#This Row],[C3/m²]:[C4/m²]]),IF(MOD(BI$2,Materialedata[[#This Row],[Levetid]])=0,SUM(Materialedata[[#This Row],[A1-A3/m²]:[C4/m²]]),0))
))</f>
        <v>3.3067891891891894</v>
      </c>
      <c r="BJ20" s="141">
        <f>IF(BJ$2&gt;Input_Tidshorisont,BlankTegn,IF(BJ$2=0,SUM(Materialedata[[#This Row],[A1-A3/m²]:[A4/m²]]),
BI20+IF(BJ$2=Input_Tidshorisont,SUM(Materialedata[[#This Row],[C3/m²]:[C4/m²]]),IF(MOD(BJ$2,Materialedata[[#This Row],[Levetid]])=0,SUM(Materialedata[[#This Row],[A1-A3/m²]:[C4/m²]]),0))
))</f>
        <v>3.3067891891891894</v>
      </c>
      <c r="BK20" s="141">
        <f>IF(BK$2&gt;Input_Tidshorisont,BlankTegn,IF(BK$2=0,SUM(Materialedata[[#This Row],[A1-A3/m²]:[A4/m²]]),
BJ20+IF(BK$2=Input_Tidshorisont,SUM(Materialedata[[#This Row],[C3/m²]:[C4/m²]]),IF(MOD(BK$2,Materialedata[[#This Row],[Levetid]])=0,SUM(Materialedata[[#This Row],[A1-A3/m²]:[C4/m²]]),0))
))</f>
        <v>3.3067891891891894</v>
      </c>
      <c r="BL20" s="141">
        <f>IF(BL$2&gt;Input_Tidshorisont,BlankTegn,IF(BL$2=0,SUM(Materialedata[[#This Row],[A1-A3/m²]:[A4/m²]]),
BK20+IF(BL$2=Input_Tidshorisont,SUM(Materialedata[[#This Row],[C3/m²]:[C4/m²]]),IF(MOD(BL$2,Materialedata[[#This Row],[Levetid]])=0,SUM(Materialedata[[#This Row],[A1-A3/m²]:[C4/m²]]),0))
))</f>
        <v>3.3067891891891894</v>
      </c>
      <c r="BM20" s="141">
        <f>IF(BM$2&gt;Input_Tidshorisont,BlankTegn,IF(BM$2=0,SUM(Materialedata[[#This Row],[A1-A3/m²]:[A4/m²]]),
BL20+IF(BM$2=Input_Tidshorisont,SUM(Materialedata[[#This Row],[C3/m²]:[C4/m²]]),IF(MOD(BM$2,Materialedata[[#This Row],[Levetid]])=0,SUM(Materialedata[[#This Row],[A1-A3/m²]:[C4/m²]]),0))
))</f>
        <v>3.3067891891891894</v>
      </c>
      <c r="BN20" s="141">
        <f>IF(BN$2&gt;Input_Tidshorisont,BlankTegn,IF(BN$2=0,SUM(Materialedata[[#This Row],[A1-A3/m²]:[A4/m²]]),
BM20+IF(BN$2=Input_Tidshorisont,SUM(Materialedata[[#This Row],[C3/m²]:[C4/m²]]),IF(MOD(BN$2,Materialedata[[#This Row],[Levetid]])=0,SUM(Materialedata[[#This Row],[A1-A3/m²]:[C4/m²]]),0))
))</f>
        <v>3.3067891891891894</v>
      </c>
      <c r="BO20" s="141">
        <f>IF(BO$2&gt;Input_Tidshorisont,BlankTegn,IF(BO$2=0,SUM(Materialedata[[#This Row],[A1-A3/m²]:[A4/m²]]),
BN20+IF(BO$2=Input_Tidshorisont,SUM(Materialedata[[#This Row],[C3/m²]:[C4/m²]]),IF(MOD(BO$2,Materialedata[[#This Row],[Levetid]])=0,SUM(Materialedata[[#This Row],[A1-A3/m²]:[C4/m²]]),0))
))</f>
        <v>3.3067891891891894</v>
      </c>
      <c r="BP20" s="141">
        <f>IF(BP$2&gt;Input_Tidshorisont,BlankTegn,IF(BP$2=0,SUM(Materialedata[[#This Row],[A1-A3/m²]:[A4/m²]]),
BO20+IF(BP$2=Input_Tidshorisont,SUM(Materialedata[[#This Row],[C3/m²]:[C4/m²]]),IF(MOD(BP$2,Materialedata[[#This Row],[Levetid]])=0,SUM(Materialedata[[#This Row],[A1-A3/m²]:[C4/m²]]),0))
))</f>
        <v>3.3067891891891894</v>
      </c>
      <c r="BQ20" s="141">
        <f>IF(BQ$2&gt;Input_Tidshorisont,BlankTegn,IF(BQ$2=0,SUM(Materialedata[[#This Row],[A1-A3/m²]:[A4/m²]]),
BP20+IF(BQ$2=Input_Tidshorisont,SUM(Materialedata[[#This Row],[C3/m²]:[C4/m²]]),IF(MOD(BQ$2,Materialedata[[#This Row],[Levetid]])=0,SUM(Materialedata[[#This Row],[A1-A3/m²]:[C4/m²]]),0))
))</f>
        <v>3.3067891891891894</v>
      </c>
      <c r="BR20" s="141">
        <f>IF(BR$2&gt;Input_Tidshorisont,BlankTegn,IF(BR$2=0,SUM(Materialedata[[#This Row],[A1-A3/m²]:[A4/m²]]),
BQ20+IF(BR$2=Input_Tidshorisont,SUM(Materialedata[[#This Row],[C3/m²]:[C4/m²]]),IF(MOD(BR$2,Materialedata[[#This Row],[Levetid]])=0,SUM(Materialedata[[#This Row],[A1-A3/m²]:[C4/m²]]),0))
))</f>
        <v>3.3067891891891894</v>
      </c>
      <c r="BS20" s="141">
        <f>IF(BS$2&gt;Input_Tidshorisont,BlankTegn,IF(BS$2=0,SUM(Materialedata[[#This Row],[A1-A3/m²]:[A4/m²]]),
BR20+IF(BS$2=Input_Tidshorisont,SUM(Materialedata[[#This Row],[C3/m²]:[C4/m²]]),IF(MOD(BS$2,Materialedata[[#This Row],[Levetid]])=0,SUM(Materialedata[[#This Row],[A1-A3/m²]:[C4/m²]]),0))
))</f>
        <v>3.3067891891891894</v>
      </c>
      <c r="BT20" s="141">
        <f>IF(BT$2&gt;Input_Tidshorisont,BlankTegn,IF(BT$2=0,SUM(Materialedata[[#This Row],[A1-A3/m²]:[A4/m²]]),
BS20+IF(BT$2=Input_Tidshorisont,SUM(Materialedata[[#This Row],[C3/m²]:[C4/m²]]),IF(MOD(BT$2,Materialedata[[#This Row],[Levetid]])=0,SUM(Materialedata[[#This Row],[A1-A3/m²]:[C4/m²]]),0))
))</f>
        <v>3.3067891891891894</v>
      </c>
      <c r="BU20" s="141">
        <f>IF(BU$2&gt;Input_Tidshorisont,BlankTegn,IF(BU$2=0,SUM(Materialedata[[#This Row],[A1-A3/m²]:[A4/m²]]),
BT20+IF(BU$2=Input_Tidshorisont,SUM(Materialedata[[#This Row],[C3/m²]:[C4/m²]]),IF(MOD(BU$2,Materialedata[[#This Row],[Levetid]])=0,SUM(Materialedata[[#This Row],[A1-A3/m²]:[C4/m²]]),0))
))</f>
        <v>3.3067891891891894</v>
      </c>
      <c r="BV20" s="141">
        <f>IF(BV$2&gt;Input_Tidshorisont,BlankTegn,IF(BV$2=0,SUM(Materialedata[[#This Row],[A1-A3/m²]:[A4/m²]]),
BU20+IF(BV$2=Input_Tidshorisont,SUM(Materialedata[[#This Row],[C3/m²]:[C4/m²]]),IF(MOD(BV$2,Materialedata[[#This Row],[Levetid]])=0,SUM(Materialedata[[#This Row],[A1-A3/m²]:[C4/m²]]),0))
))</f>
        <v>3.3067891891891894</v>
      </c>
      <c r="BW20" s="141">
        <f>IF(BW$2&gt;Input_Tidshorisont,BlankTegn,IF(BW$2=0,SUM(Materialedata[[#This Row],[A1-A3/m²]:[A4/m²]]),
BV20+IF(BW$2=Input_Tidshorisont,SUM(Materialedata[[#This Row],[C3/m²]:[C4/m²]]),IF(MOD(BW$2,Materialedata[[#This Row],[Levetid]])=0,SUM(Materialedata[[#This Row],[A1-A3/m²]:[C4/m²]]),0))
))</f>
        <v>3.3067891891891894</v>
      </c>
      <c r="BX20" s="141">
        <f>IF(BX$2&gt;Input_Tidshorisont,BlankTegn,IF(BX$2=0,SUM(Materialedata[[#This Row],[A1-A3/m²]:[A4/m²]]),
BW20+IF(BX$2=Input_Tidshorisont,SUM(Materialedata[[#This Row],[C3/m²]:[C4/m²]]),IF(MOD(BX$2,Materialedata[[#This Row],[Levetid]])=0,SUM(Materialedata[[#This Row],[A1-A3/m²]:[C4/m²]]),0))
))</f>
        <v>3.3067891891891894</v>
      </c>
      <c r="BY20" s="141">
        <f>IF(BY$2&gt;Input_Tidshorisont,BlankTegn,IF(BY$2=0,SUM(Materialedata[[#This Row],[A1-A3/m²]:[A4/m²]]),
BX20+IF(BY$2=Input_Tidshorisont,SUM(Materialedata[[#This Row],[C3/m²]:[C4/m²]]),IF(MOD(BY$2,Materialedata[[#This Row],[Levetid]])=0,SUM(Materialedata[[#This Row],[A1-A3/m²]:[C4/m²]]),0))
))</f>
        <v>3.3067891891891894</v>
      </c>
      <c r="BZ20" s="141">
        <f>IF(BZ$2&gt;Input_Tidshorisont,BlankTegn,IF(BZ$2=0,SUM(Materialedata[[#This Row],[A1-A3/m²]:[A4/m²]]),
BY20+IF(BZ$2=Input_Tidshorisont,SUM(Materialedata[[#This Row],[C3/m²]:[C4/m²]]),IF(MOD(BZ$2,Materialedata[[#This Row],[Levetid]])=0,SUM(Materialedata[[#This Row],[A1-A3/m²]:[C4/m²]]),0))
))</f>
        <v>3.3067891891891894</v>
      </c>
      <c r="CA20" s="141">
        <f>IF(CA$2&gt;Input_Tidshorisont,BlankTegn,IF(CA$2=0,SUM(Materialedata[[#This Row],[A1-A3/m²]:[A4/m²]]),
BZ20+IF(CA$2=Input_Tidshorisont,SUM(Materialedata[[#This Row],[C3/m²]:[C4/m²]]),IF(MOD(CA$2,Materialedata[[#This Row],[Levetid]])=0,SUM(Materialedata[[#This Row],[A1-A3/m²]:[C4/m²]]),0))
))</f>
        <v>3.3067891891891894</v>
      </c>
      <c r="CB20" s="141">
        <f>IF(CB$2&gt;Input_Tidshorisont,BlankTegn,IF(CB$2=0,SUM(Materialedata[[#This Row],[A1-A3/m²]:[A4/m²]]),
CA20+IF(CB$2=Input_Tidshorisont,SUM(Materialedata[[#This Row],[C3/m²]:[C4/m²]]),IF(MOD(CB$2,Materialedata[[#This Row],[Levetid]])=0,SUM(Materialedata[[#This Row],[A1-A3/m²]:[C4/m²]]),0))
))</f>
        <v>3.3067891891891894</v>
      </c>
      <c r="CC20" s="141">
        <f>IF(CC$2&gt;Input_Tidshorisont,BlankTegn,IF(CC$2=0,SUM(Materialedata[[#This Row],[A1-A3/m²]:[A4/m²]]),
CB20+IF(CC$2=Input_Tidshorisont,SUM(Materialedata[[#This Row],[C3/m²]:[C4/m²]]),IF(MOD(CC$2,Materialedata[[#This Row],[Levetid]])=0,SUM(Materialedata[[#This Row],[A1-A3/m²]:[C4/m²]]),0))
))</f>
        <v>3.3067891891891894</v>
      </c>
      <c r="CD20" s="141">
        <f>IF(CD$2&gt;Input_Tidshorisont,BlankTegn,IF(CD$2=0,SUM(Materialedata[[#This Row],[A1-A3/m²]:[A4/m²]]),
CC20+IF(CD$2=Input_Tidshorisont,SUM(Materialedata[[#This Row],[C3/m²]:[C4/m²]]),IF(MOD(CD$2,Materialedata[[#This Row],[Levetid]])=0,SUM(Materialedata[[#This Row],[A1-A3/m²]:[C4/m²]]),0))
))</f>
        <v>3.3067891891891894</v>
      </c>
      <c r="CE20" s="141">
        <f>IF(CE$2&gt;Input_Tidshorisont,BlankTegn,IF(CE$2=0,SUM(Materialedata[[#This Row],[A1-A3/m²]:[A4/m²]]),
CD20+IF(CE$2=Input_Tidshorisont,SUM(Materialedata[[#This Row],[C3/m²]:[C4/m²]]),IF(MOD(CE$2,Materialedata[[#This Row],[Levetid]])=0,SUM(Materialedata[[#This Row],[A1-A3/m²]:[C4/m²]]),0))
))</f>
        <v>3.3067891891891894</v>
      </c>
      <c r="CF20" s="141">
        <f>IF(CF$2&gt;Input_Tidshorisont,BlankTegn,IF(CF$2=0,SUM(Materialedata[[#This Row],[A1-A3/m²]:[A4/m²]]),
CE20+IF(CF$2=Input_Tidshorisont,SUM(Materialedata[[#This Row],[C3/m²]:[C4/m²]]),IF(MOD(CF$2,Materialedata[[#This Row],[Levetid]])=0,SUM(Materialedata[[#This Row],[A1-A3/m²]:[C4/m²]]),0))
))</f>
        <v>3.3067891891891894</v>
      </c>
      <c r="CG20" s="141">
        <f>IF(CG$2&gt;Input_Tidshorisont,BlankTegn,IF(CG$2=0,SUM(Materialedata[[#This Row],[A1-A3/m²]:[A4/m²]]),
CF20+IF(CG$2=Input_Tidshorisont,SUM(Materialedata[[#This Row],[C3/m²]:[C4/m²]]),IF(MOD(CG$2,Materialedata[[#This Row],[Levetid]])=0,SUM(Materialedata[[#This Row],[A1-A3/m²]:[C4/m²]]),0))
))</f>
        <v>3.3067891891891894</v>
      </c>
      <c r="CH20" s="141">
        <f>IF(CH$2&gt;Input_Tidshorisont,BlankTegn,IF(CH$2=0,SUM(Materialedata[[#This Row],[A1-A3/m²]:[A4/m²]]),
CG20+IF(CH$2=Input_Tidshorisont,SUM(Materialedata[[#This Row],[C3/m²]:[C4/m²]]),IF(MOD(CH$2,Materialedata[[#This Row],[Levetid]])=0,SUM(Materialedata[[#This Row],[A1-A3/m²]:[C4/m²]]),0))
))</f>
        <v>3.4040864864864866</v>
      </c>
      <c r="CI20" s="141" t="str">
        <f>IF(CI$2&gt;Input_Tidshorisont,BlankTegn,IF(CI$2=0,SUM(Materialedata[[#This Row],[A1-A3/m²]:[A4/m²]]),
CH20+IF(CI$2=Input_Tidshorisont,SUM(Materialedata[[#This Row],[C3/m²]:[C4/m²]]),IF(MOD(CI$2,Materialedata[[#This Row],[Levetid]])=0,SUM(Materialedata[[#This Row],[A1-A3/m²]:[C4/m²]]),0))
))</f>
        <v>.</v>
      </c>
      <c r="CJ20" s="141" t="str">
        <f>IF(CJ$2&gt;Input_Tidshorisont,BlankTegn,IF(CJ$2=0,SUM(Materialedata[[#This Row],[A1-A3/m²]:[A4/m²]]),
CI20+IF(CJ$2=Input_Tidshorisont,SUM(Materialedata[[#This Row],[C3/m²]:[C4/m²]]),IF(MOD(CJ$2,Materialedata[[#This Row],[Levetid]])=0,SUM(Materialedata[[#This Row],[A1-A3/m²]:[C4/m²]]),0))
))</f>
        <v>.</v>
      </c>
      <c r="CK20" s="141" t="str">
        <f>IF(CK$2&gt;Input_Tidshorisont,BlankTegn,IF(CK$2=0,SUM(Materialedata[[#This Row],[A1-A3/m²]:[A4/m²]]),
CJ20+IF(CK$2=Input_Tidshorisont,SUM(Materialedata[[#This Row],[C3/m²]:[C4/m²]]),IF(MOD(CK$2,Materialedata[[#This Row],[Levetid]])=0,SUM(Materialedata[[#This Row],[A1-A3/m²]:[C4/m²]]),0))
))</f>
        <v>.</v>
      </c>
      <c r="CL20" s="141" t="str">
        <f>IF(CL$2&gt;Input_Tidshorisont,BlankTegn,IF(CL$2=0,SUM(Materialedata[[#This Row],[A1-A3/m²]:[A4/m²]]),
CK20+IF(CL$2=Input_Tidshorisont,SUM(Materialedata[[#This Row],[C3/m²]:[C4/m²]]),IF(MOD(CL$2,Materialedata[[#This Row],[Levetid]])=0,SUM(Materialedata[[#This Row],[A1-A3/m²]:[C4/m²]]),0))
))</f>
        <v>.</v>
      </c>
      <c r="CM20" s="141" t="str">
        <f>IF(CM$2&gt;Input_Tidshorisont,BlankTegn,IF(CM$2=0,SUM(Materialedata[[#This Row],[A1-A3/m²]:[A4/m²]]),
CL20+IF(CM$2=Input_Tidshorisont,SUM(Materialedata[[#This Row],[C3/m²]:[C4/m²]]),IF(MOD(CM$2,Materialedata[[#This Row],[Levetid]])=0,SUM(Materialedata[[#This Row],[A1-A3/m²]:[C4/m²]]),0))
))</f>
        <v>.</v>
      </c>
      <c r="CN20" s="141" t="str">
        <f>IF(CN$2&gt;Input_Tidshorisont,BlankTegn,IF(CN$2=0,SUM(Materialedata[[#This Row],[A1-A3/m²]:[A4/m²]]),
CM20+IF(CN$2=Input_Tidshorisont,SUM(Materialedata[[#This Row],[C3/m²]:[C4/m²]]),IF(MOD(CN$2,Materialedata[[#This Row],[Levetid]])=0,SUM(Materialedata[[#This Row],[A1-A3/m²]:[C4/m²]]),0))
))</f>
        <v>.</v>
      </c>
      <c r="CO20" s="141" t="str">
        <f>IF(CO$2&gt;Input_Tidshorisont,BlankTegn,IF(CO$2=0,SUM(Materialedata[[#This Row],[A1-A3/m²]:[A4/m²]]),
CN20+IF(CO$2=Input_Tidshorisont,SUM(Materialedata[[#This Row],[C3/m²]:[C4/m²]]),IF(MOD(CO$2,Materialedata[[#This Row],[Levetid]])=0,SUM(Materialedata[[#This Row],[A1-A3/m²]:[C4/m²]]),0))
))</f>
        <v>.</v>
      </c>
      <c r="CP20" s="141" t="str">
        <f>IF(CP$2&gt;Input_Tidshorisont,BlankTegn,IF(CP$2=0,SUM(Materialedata[[#This Row],[A1-A3/m²]:[A4/m²]]),
CO20+IF(CP$2=Input_Tidshorisont,SUM(Materialedata[[#This Row],[C3/m²]:[C4/m²]]),IF(MOD(CP$2,Materialedata[[#This Row],[Levetid]])=0,SUM(Materialedata[[#This Row],[A1-A3/m²]:[C4/m²]]),0))
))</f>
        <v>.</v>
      </c>
      <c r="CQ20" s="141" t="str">
        <f>IF(CQ$2&gt;Input_Tidshorisont,BlankTegn,IF(CQ$2=0,SUM(Materialedata[[#This Row],[A1-A3/m²]:[A4/m²]]),
CP20+IF(CQ$2=Input_Tidshorisont,SUM(Materialedata[[#This Row],[C3/m²]:[C4/m²]]),IF(MOD(CQ$2,Materialedata[[#This Row],[Levetid]])=0,SUM(Materialedata[[#This Row],[A1-A3/m²]:[C4/m²]]),0))
))</f>
        <v>.</v>
      </c>
      <c r="CR20" s="141" t="str">
        <f>IF(CR$2&gt;Input_Tidshorisont,BlankTegn,IF(CR$2=0,SUM(Materialedata[[#This Row],[A1-A3/m²]:[A4/m²]]),
CQ20+IF(CR$2=Input_Tidshorisont,SUM(Materialedata[[#This Row],[C3/m²]:[C4/m²]]),IF(MOD(CR$2,Materialedata[[#This Row],[Levetid]])=0,SUM(Materialedata[[#This Row],[A1-A3/m²]:[C4/m²]]),0))
))</f>
        <v>.</v>
      </c>
      <c r="CS20" s="141" t="str">
        <f>IF(CS$2&gt;Input_Tidshorisont,BlankTegn,IF(CS$2=0,SUM(Materialedata[[#This Row],[A1-A3/m²]:[A4/m²]]),
CR20+IF(CS$2=Input_Tidshorisont,SUM(Materialedata[[#This Row],[C3/m²]:[C4/m²]]),IF(MOD(CS$2,Materialedata[[#This Row],[Levetid]])=0,SUM(Materialedata[[#This Row],[A1-A3/m²]:[C4/m²]]),0))
))</f>
        <v>.</v>
      </c>
      <c r="CT20" s="141" t="str">
        <f>IF(CT$2&gt;Input_Tidshorisont,BlankTegn,IF(CT$2=0,SUM(Materialedata[[#This Row],[A1-A3/m²]:[A4/m²]]),
CS20+IF(CT$2=Input_Tidshorisont,SUM(Materialedata[[#This Row],[C3/m²]:[C4/m²]]),IF(MOD(CT$2,Materialedata[[#This Row],[Levetid]])=0,SUM(Materialedata[[#This Row],[A1-A3/m²]:[C4/m²]]),0))
))</f>
        <v>.</v>
      </c>
      <c r="CU20" s="141" t="str">
        <f>IF(CU$2&gt;Input_Tidshorisont,BlankTegn,IF(CU$2=0,SUM(Materialedata[[#This Row],[A1-A3/m²]:[A4/m²]]),
CT20+IF(CU$2=Input_Tidshorisont,SUM(Materialedata[[#This Row],[C3/m²]:[C4/m²]]),IF(MOD(CU$2,Materialedata[[#This Row],[Levetid]])=0,SUM(Materialedata[[#This Row],[A1-A3/m²]:[C4/m²]]),0))
))</f>
        <v>.</v>
      </c>
      <c r="CV20" s="141" t="str">
        <f>IF(CV$2&gt;Input_Tidshorisont,BlankTegn,IF(CV$2=0,SUM(Materialedata[[#This Row],[A1-A3/m²]:[A4/m²]]),
CU20+IF(CV$2=Input_Tidshorisont,SUM(Materialedata[[#This Row],[C3/m²]:[C4/m²]]),IF(MOD(CV$2,Materialedata[[#This Row],[Levetid]])=0,SUM(Materialedata[[#This Row],[A1-A3/m²]:[C4/m²]]),0))
))</f>
        <v>.</v>
      </c>
      <c r="CW20" s="141" t="str">
        <f>IF(CW$2&gt;Input_Tidshorisont,BlankTegn,IF(CW$2=0,SUM(Materialedata[[#This Row],[A1-A3/m²]:[A4/m²]]),
CV20+IF(CW$2=Input_Tidshorisont,SUM(Materialedata[[#This Row],[C3/m²]:[C4/m²]]),IF(MOD(CW$2,Materialedata[[#This Row],[Levetid]])=0,SUM(Materialedata[[#This Row],[A1-A3/m²]:[C4/m²]]),0))
))</f>
        <v>.</v>
      </c>
      <c r="CX20" s="141" t="str">
        <f>IF(CX$2&gt;Input_Tidshorisont,BlankTegn,IF(CX$2=0,SUM(Materialedata[[#This Row],[A1-A3/m²]:[A4/m²]]),
CW20+IF(CX$2=Input_Tidshorisont,SUM(Materialedata[[#This Row],[C3/m²]:[C4/m²]]),IF(MOD(CX$2,Materialedata[[#This Row],[Levetid]])=0,SUM(Materialedata[[#This Row],[A1-A3/m²]:[C4/m²]]),0))
))</f>
        <v>.</v>
      </c>
      <c r="CY20" s="141" t="str">
        <f>IF(CY$2&gt;Input_Tidshorisont,BlankTegn,IF(CY$2=0,SUM(Materialedata[[#This Row],[A1-A3/m²]:[A4/m²]]),
CX20+IF(CY$2=Input_Tidshorisont,SUM(Materialedata[[#This Row],[C3/m²]:[C4/m²]]),IF(MOD(CY$2,Materialedata[[#This Row],[Levetid]])=0,SUM(Materialedata[[#This Row],[A1-A3/m²]:[C4/m²]]),0))
))</f>
        <v>.</v>
      </c>
      <c r="CZ20" s="141" t="str">
        <f>IF(CZ$2&gt;Input_Tidshorisont,BlankTegn,IF(CZ$2=0,SUM(Materialedata[[#This Row],[A1-A3/m²]:[A4/m²]]),
CY20+IF(CZ$2=Input_Tidshorisont,SUM(Materialedata[[#This Row],[C3/m²]:[C4/m²]]),IF(MOD(CZ$2,Materialedata[[#This Row],[Levetid]])=0,SUM(Materialedata[[#This Row],[A1-A3/m²]:[C4/m²]]),0))
))</f>
        <v>.</v>
      </c>
      <c r="DA20" s="141" t="str">
        <f>IF(DA$2&gt;Input_Tidshorisont,BlankTegn,IF(DA$2=0,SUM(Materialedata[[#This Row],[A1-A3/m²]:[A4/m²]]),
CZ20+IF(DA$2=Input_Tidshorisont,SUM(Materialedata[[#This Row],[C3/m²]:[C4/m²]]),IF(MOD(DA$2,Materialedata[[#This Row],[Levetid]])=0,SUM(Materialedata[[#This Row],[A1-A3/m²]:[C4/m²]]),0))
))</f>
        <v>.</v>
      </c>
      <c r="DB20" s="141" t="str">
        <f>IF(DB$2&gt;Input_Tidshorisont,BlankTegn,IF(DB$2=0,SUM(Materialedata[[#This Row],[A1-A3/m²]:[A4/m²]]),
DA20+IF(DB$2=Input_Tidshorisont,SUM(Materialedata[[#This Row],[C3/m²]:[C4/m²]]),IF(MOD(DB$2,Materialedata[[#This Row],[Levetid]])=0,SUM(Materialedata[[#This Row],[A1-A3/m²]:[C4/m²]]),0))
))</f>
        <v>.</v>
      </c>
      <c r="DC20" s="141" t="str">
        <f>IF(DC$2&gt;Input_Tidshorisont,BlankTegn,IF(DC$2=0,SUM(Materialedata[[#This Row],[A1-A3/m²]:[A4/m²]]),
DB20+IF(DC$2=Input_Tidshorisont,SUM(Materialedata[[#This Row],[C3/m²]:[C4/m²]]),IF(MOD(DC$2,Materialedata[[#This Row],[Levetid]])=0,SUM(Materialedata[[#This Row],[A1-A3/m²]:[C4/m²]]),0))
))</f>
        <v>.</v>
      </c>
      <c r="DD20" s="141" t="str">
        <f>IF(DD$2&gt;Input_Tidshorisont,BlankTegn,IF(DD$2=0,SUM(Materialedata[[#This Row],[A1-A3/m²]:[A4/m²]]),
DC20+IF(DD$2=Input_Tidshorisont,SUM(Materialedata[[#This Row],[C3/m²]:[C4/m²]]),IF(MOD(DD$2,Materialedata[[#This Row],[Levetid]])=0,SUM(Materialedata[[#This Row],[A1-A3/m²]:[C4/m²]]),0))
))</f>
        <v>.</v>
      </c>
      <c r="DE20" s="141" t="str">
        <f>IF(DE$2&gt;Input_Tidshorisont,BlankTegn,IF(DE$2=0,SUM(Materialedata[[#This Row],[A1-A3/m²]:[A4/m²]]),
DD20+IF(DE$2=Input_Tidshorisont,SUM(Materialedata[[#This Row],[C3/m²]:[C4/m²]]),IF(MOD(DE$2,Materialedata[[#This Row],[Levetid]])=0,SUM(Materialedata[[#This Row],[A1-A3/m²]:[C4/m²]]),0))
))</f>
        <v>.</v>
      </c>
      <c r="DF20" s="141" t="str">
        <f>IF(DF$2&gt;Input_Tidshorisont,BlankTegn,IF(DF$2=0,SUM(Materialedata[[#This Row],[A1-A3/m²]:[A4/m²]]),
DE20+IF(DF$2=Input_Tidshorisont,SUM(Materialedata[[#This Row],[C3/m²]:[C4/m²]]),IF(MOD(DF$2,Materialedata[[#This Row],[Levetid]])=0,SUM(Materialedata[[#This Row],[A1-A3/m²]:[C4/m²]]),0))
))</f>
        <v>.</v>
      </c>
      <c r="DG20" s="141" t="str">
        <f>IF(DG$2&gt;Input_Tidshorisont,BlankTegn,IF(DG$2=0,SUM(Materialedata[[#This Row],[A1-A3/m²]:[A4/m²]]),
DF20+IF(DG$2=Input_Tidshorisont,SUM(Materialedata[[#This Row],[C3/m²]:[C4/m²]]),IF(MOD(DG$2,Materialedata[[#This Row],[Levetid]])=0,SUM(Materialedata[[#This Row],[A1-A3/m²]:[C4/m²]]),0))
))</f>
        <v>.</v>
      </c>
      <c r="DH20" s="141" t="str">
        <f>IF(DH$2&gt;Input_Tidshorisont,BlankTegn,IF(DH$2=0,SUM(Materialedata[[#This Row],[A1-A3/m²]:[A4/m²]]),
DG20+IF(DH$2=Input_Tidshorisont,SUM(Materialedata[[#This Row],[C3/m²]:[C4/m²]]),IF(MOD(DH$2,Materialedata[[#This Row],[Levetid]])=0,SUM(Materialedata[[#This Row],[A1-A3/m²]:[C4/m²]]),0))
))</f>
        <v>.</v>
      </c>
      <c r="DI20" s="141" t="str">
        <f>IF(DI$2&gt;Input_Tidshorisont,BlankTegn,IF(DI$2=0,SUM(Materialedata[[#This Row],[A1-A3/m²]:[A4/m²]]),
DH20+IF(DI$2=Input_Tidshorisont,SUM(Materialedata[[#This Row],[C3/m²]:[C4/m²]]),IF(MOD(DI$2,Materialedata[[#This Row],[Levetid]])=0,SUM(Materialedata[[#This Row],[A1-A3/m²]:[C4/m²]]),0))
))</f>
        <v>.</v>
      </c>
      <c r="DJ20" s="141" t="str">
        <f>IF(DJ$2&gt;Input_Tidshorisont,BlankTegn,IF(DJ$2=0,SUM(Materialedata[[#This Row],[A1-A3/m²]:[A4/m²]]),
DI20+IF(DJ$2=Input_Tidshorisont,SUM(Materialedata[[#This Row],[C3/m²]:[C4/m²]]),IF(MOD(DJ$2,Materialedata[[#This Row],[Levetid]])=0,SUM(Materialedata[[#This Row],[A1-A3/m²]:[C4/m²]]),0))
))</f>
        <v>.</v>
      </c>
      <c r="DK20" s="141" t="str">
        <f>IF(DK$2&gt;Input_Tidshorisont,BlankTegn,IF(DK$2=0,SUM(Materialedata[[#This Row],[A1-A3/m²]:[A4/m²]]),
DJ20+IF(DK$2=Input_Tidshorisont,SUM(Materialedata[[#This Row],[C3/m²]:[C4/m²]]),IF(MOD(DK$2,Materialedata[[#This Row],[Levetid]])=0,SUM(Materialedata[[#This Row],[A1-A3/m²]:[C4/m²]]),0))
))</f>
        <v>.</v>
      </c>
      <c r="DL20" s="141" t="str">
        <f>IF(DL$2&gt;Input_Tidshorisont,BlankTegn,IF(DL$2=0,SUM(Materialedata[[#This Row],[A1-A3/m²]:[A4/m²]]),
DK20+IF(DL$2=Input_Tidshorisont,SUM(Materialedata[[#This Row],[C3/m²]:[C4/m²]]),IF(MOD(DL$2,Materialedata[[#This Row],[Levetid]])=0,SUM(Materialedata[[#This Row],[A1-A3/m²]:[C4/m²]]),0))
))</f>
        <v>.</v>
      </c>
      <c r="DM20" s="19"/>
    </row>
    <row r="21" spans="1:117">
      <c r="A21" s="182" t="s">
        <v>248</v>
      </c>
      <c r="B21" s="182" t="s">
        <v>157</v>
      </c>
      <c r="C21" s="148" t="s">
        <v>131</v>
      </c>
      <c r="D21" s="184"/>
      <c r="E21" s="180" t="s">
        <v>276</v>
      </c>
      <c r="F21" s="182" t="s">
        <v>156</v>
      </c>
      <c r="G21" s="182">
        <v>60</v>
      </c>
      <c r="H21" s="183">
        <v>30</v>
      </c>
      <c r="I21" s="184">
        <f>0.15*1*1</f>
        <v>0.15</v>
      </c>
      <c r="J21" s="184" t="s">
        <v>232</v>
      </c>
      <c r="K21" s="182">
        <v>0.59</v>
      </c>
      <c r="L21" s="182" t="s">
        <v>221</v>
      </c>
      <c r="M21" s="185">
        <f>IF(ISBLANK(Materialedata[[#This Row],[A4-gruppe]]),BlankTegn,INDEX(Byggeproces[GWP],MATCH(Materialedata[[#This Row],[A4-gruppe]],Byggeproces[Gruppe/Undergruppe],0)))</f>
        <v>1.9599999999999999E-2</v>
      </c>
      <c r="N21" s="182">
        <v>0</v>
      </c>
      <c r="O21" s="182">
        <v>1.7999999999999999E-2</v>
      </c>
      <c r="P21" s="182">
        <v>-2.3199999999999998E-2</v>
      </c>
      <c r="Q21" s="277">
        <f>Materialedata[[#This Row],[A1-A3/standardenhed]]/0.037*Materialedata[[#This Row],[Mængde/m²]]</f>
        <v>2.3918918918918917</v>
      </c>
      <c r="R21" s="278" cm="1">
        <f t="array" ref="R21">IFERROR(_xlfn.IFS(Materialedata[[#This Row],[Mængde-enhed]]="kg/m²",Materialedata[[#This Row],[A4/kg]]*Materialedata[[#This Row],[Mængde/m²]],Materialedata[[#This Row],[Mængde-enhed]]="m³/m²",Materialedata[[#This Row],[A4/kg]]*Materialedata[[#This Row],[Mængde/m²]]*Materialedata[[#This Row],[Densitet]]),"N/A")</f>
        <v>8.8200000000000001E-2</v>
      </c>
      <c r="S21" s="277">
        <f>Materialedata[[#This Row],[C3/enhed]]/0.037*Materialedata[[#This Row],[Mængde/m²]]</f>
        <v>0</v>
      </c>
      <c r="T21" s="277">
        <f>Materialedata[[#This Row],[C4/enhed]]/0.037*Materialedata[[#This Row],[Mængde/m²]]</f>
        <v>7.2972972972972963E-2</v>
      </c>
      <c r="U21" s="277">
        <f>Materialedata[[#This Row],[D/enhed]]/0.037*Materialedata[[#This Row],[Mængde/m²]]</f>
        <v>-9.4054054054054051E-2</v>
      </c>
      <c r="V21" s="150">
        <f>IFERROR(INDEX(Range_Materiale_Genbrug,MATCH(Materialedata[[#This Row],[Komponent]],Facadekomponenter,0)),BlankTegn)</f>
        <v>0</v>
      </c>
      <c r="W21" s="150">
        <f>IFERROR(1-Materialedata[[#This Row],[Genbrug]],BlankTegn)</f>
        <v>1</v>
      </c>
      <c r="X21" s="186">
        <f>IFERROR(Materialedata[[#This Row],[A1-A3/m²_nyt]]*Materialedata[[#This Row],[Nyt]],BlankTegn)</f>
        <v>2.3918918918918917</v>
      </c>
      <c r="Y21" s="186">
        <f>Materialedata[[#This Row],[A4/m²_nyt]]</f>
        <v>8.8200000000000001E-2</v>
      </c>
      <c r="Z21" s="186">
        <f>IFERROR(Materialedata[[#This Row],[C3/m²_nyt]]*Materialedata[[#This Row],[Nyt]],BlankTegn)</f>
        <v>0</v>
      </c>
      <c r="AA21" s="186">
        <f>IFERROR(Materialedata[[#This Row],[C4/m²_nyt]]*Materialedata[[#This Row],[Nyt]],BlankTegn)</f>
        <v>7.2972972972972963E-2</v>
      </c>
      <c r="AB21" s="186">
        <f>IFERROR(Materialedata[[#This Row],[D/m²_nyt]]*Materialedata[[#This Row],[Nyt]],BlankTegn)</f>
        <v>-9.4054054054054051E-2</v>
      </c>
      <c r="AC21" s="187">
        <v>133.78</v>
      </c>
      <c r="AD21" s="188" t="s">
        <v>29</v>
      </c>
      <c r="AE21" s="182">
        <v>1</v>
      </c>
      <c r="AF21" s="189">
        <f>Materialedata[[#This Row],[Pris/enhed]]*Materialedata[[#This Row],[Omregning]]</f>
        <v>133.78</v>
      </c>
      <c r="AG21" s="190">
        <v>0.01</v>
      </c>
      <c r="AH21" s="191">
        <v>1</v>
      </c>
      <c r="AI21" s="162">
        <v>0</v>
      </c>
      <c r="AJ21" s="141">
        <f>IF(AJ$2&gt;Input_Tidshorisont,BlankTegn,IF(AJ$2=0,SUM(Materialedata[[#This Row],[A1-A3/m²]:[A4/m²]]),
AI21+IF(AJ$2=Input_Tidshorisont,SUM(Materialedata[[#This Row],[C3/m²]:[C4/m²]]),IF(MOD(AJ$2,Materialedata[[#This Row],[Levetid]])=0,SUM(Materialedata[[#This Row],[A1-A3/m²]:[C4/m²]]),0))
))</f>
        <v>2.4800918918918917</v>
      </c>
      <c r="AK21" s="141">
        <f>IF(AK$2&gt;Input_Tidshorisont,BlankTegn,IF(AK$2=0,SUM(Materialedata[[#This Row],[A1-A3/m²]:[A4/m²]]),
AJ21+IF(AK$2=Input_Tidshorisont,SUM(Materialedata[[#This Row],[C3/m²]:[C4/m²]]),IF(MOD(AK$2,Materialedata[[#This Row],[Levetid]])=0,SUM(Materialedata[[#This Row],[A1-A3/m²]:[C4/m²]]),0))
))</f>
        <v>2.4800918918918917</v>
      </c>
      <c r="AL21" s="141">
        <f>IF(AL$2&gt;Input_Tidshorisont,BlankTegn,IF(AL$2=0,SUM(Materialedata[[#This Row],[A1-A3/m²]:[A4/m²]]),
AK21+IF(AL$2=Input_Tidshorisont,SUM(Materialedata[[#This Row],[C3/m²]:[C4/m²]]),IF(MOD(AL$2,Materialedata[[#This Row],[Levetid]])=0,SUM(Materialedata[[#This Row],[A1-A3/m²]:[C4/m²]]),0))
))</f>
        <v>2.4800918918918917</v>
      </c>
      <c r="AM21" s="141">
        <f>IF(AM$2&gt;Input_Tidshorisont,BlankTegn,IF(AM$2=0,SUM(Materialedata[[#This Row],[A1-A3/m²]:[A4/m²]]),
AL21+IF(AM$2=Input_Tidshorisont,SUM(Materialedata[[#This Row],[C3/m²]:[C4/m²]]),IF(MOD(AM$2,Materialedata[[#This Row],[Levetid]])=0,SUM(Materialedata[[#This Row],[A1-A3/m²]:[C4/m²]]),0))
))</f>
        <v>2.4800918918918917</v>
      </c>
      <c r="AN21" s="141">
        <f>IF(AN$2&gt;Input_Tidshorisont,BlankTegn,IF(AN$2=0,SUM(Materialedata[[#This Row],[A1-A3/m²]:[A4/m²]]),
AM21+IF(AN$2=Input_Tidshorisont,SUM(Materialedata[[#This Row],[C3/m²]:[C4/m²]]),IF(MOD(AN$2,Materialedata[[#This Row],[Levetid]])=0,SUM(Materialedata[[#This Row],[A1-A3/m²]:[C4/m²]]),0))
))</f>
        <v>2.4800918918918917</v>
      </c>
      <c r="AO21" s="141">
        <f>IF(AO$2&gt;Input_Tidshorisont,BlankTegn,IF(AO$2=0,SUM(Materialedata[[#This Row],[A1-A3/m²]:[A4/m²]]),
AN21+IF(AO$2=Input_Tidshorisont,SUM(Materialedata[[#This Row],[C3/m²]:[C4/m²]]),IF(MOD(AO$2,Materialedata[[#This Row],[Levetid]])=0,SUM(Materialedata[[#This Row],[A1-A3/m²]:[C4/m²]]),0))
))</f>
        <v>2.4800918918918917</v>
      </c>
      <c r="AP21" s="141">
        <f>IF(AP$2&gt;Input_Tidshorisont,BlankTegn,IF(AP$2=0,SUM(Materialedata[[#This Row],[A1-A3/m²]:[A4/m²]]),
AO21+IF(AP$2=Input_Tidshorisont,SUM(Materialedata[[#This Row],[C3/m²]:[C4/m²]]),IF(MOD(AP$2,Materialedata[[#This Row],[Levetid]])=0,SUM(Materialedata[[#This Row],[A1-A3/m²]:[C4/m²]]),0))
))</f>
        <v>2.4800918918918917</v>
      </c>
      <c r="AQ21" s="141">
        <f>IF(AQ$2&gt;Input_Tidshorisont,BlankTegn,IF(AQ$2=0,SUM(Materialedata[[#This Row],[A1-A3/m²]:[A4/m²]]),
AP21+IF(AQ$2=Input_Tidshorisont,SUM(Materialedata[[#This Row],[C3/m²]:[C4/m²]]),IF(MOD(AQ$2,Materialedata[[#This Row],[Levetid]])=0,SUM(Materialedata[[#This Row],[A1-A3/m²]:[C4/m²]]),0))
))</f>
        <v>2.4800918918918917</v>
      </c>
      <c r="AR21" s="141">
        <f>IF(AR$2&gt;Input_Tidshorisont,BlankTegn,IF(AR$2=0,SUM(Materialedata[[#This Row],[A1-A3/m²]:[A4/m²]]),
AQ21+IF(AR$2=Input_Tidshorisont,SUM(Materialedata[[#This Row],[C3/m²]:[C4/m²]]),IF(MOD(AR$2,Materialedata[[#This Row],[Levetid]])=0,SUM(Materialedata[[#This Row],[A1-A3/m²]:[C4/m²]]),0))
))</f>
        <v>2.4800918918918917</v>
      </c>
      <c r="AS21" s="141">
        <f>IF(AS$2&gt;Input_Tidshorisont,BlankTegn,IF(AS$2=0,SUM(Materialedata[[#This Row],[A1-A3/m²]:[A4/m²]]),
AR21+IF(AS$2=Input_Tidshorisont,SUM(Materialedata[[#This Row],[C3/m²]:[C4/m²]]),IF(MOD(AS$2,Materialedata[[#This Row],[Levetid]])=0,SUM(Materialedata[[#This Row],[A1-A3/m²]:[C4/m²]]),0))
))</f>
        <v>2.4800918918918917</v>
      </c>
      <c r="AT21" s="141">
        <f>IF(AT$2&gt;Input_Tidshorisont,BlankTegn,IF(AT$2=0,SUM(Materialedata[[#This Row],[A1-A3/m²]:[A4/m²]]),
AS21+IF(AT$2=Input_Tidshorisont,SUM(Materialedata[[#This Row],[C3/m²]:[C4/m²]]),IF(MOD(AT$2,Materialedata[[#This Row],[Levetid]])=0,SUM(Materialedata[[#This Row],[A1-A3/m²]:[C4/m²]]),0))
))</f>
        <v>2.4800918918918917</v>
      </c>
      <c r="AU21" s="141">
        <f>IF(AU$2&gt;Input_Tidshorisont,BlankTegn,IF(AU$2=0,SUM(Materialedata[[#This Row],[A1-A3/m²]:[A4/m²]]),
AT21+IF(AU$2=Input_Tidshorisont,SUM(Materialedata[[#This Row],[C3/m²]:[C4/m²]]),IF(MOD(AU$2,Materialedata[[#This Row],[Levetid]])=0,SUM(Materialedata[[#This Row],[A1-A3/m²]:[C4/m²]]),0))
))</f>
        <v>2.4800918918918917</v>
      </c>
      <c r="AV21" s="141">
        <f>IF(AV$2&gt;Input_Tidshorisont,BlankTegn,IF(AV$2=0,SUM(Materialedata[[#This Row],[A1-A3/m²]:[A4/m²]]),
AU21+IF(AV$2=Input_Tidshorisont,SUM(Materialedata[[#This Row],[C3/m²]:[C4/m²]]),IF(MOD(AV$2,Materialedata[[#This Row],[Levetid]])=0,SUM(Materialedata[[#This Row],[A1-A3/m²]:[C4/m²]]),0))
))</f>
        <v>2.4800918918918917</v>
      </c>
      <c r="AW21" s="141">
        <f>IF(AW$2&gt;Input_Tidshorisont,BlankTegn,IF(AW$2=0,SUM(Materialedata[[#This Row],[A1-A3/m²]:[A4/m²]]),
AV21+IF(AW$2=Input_Tidshorisont,SUM(Materialedata[[#This Row],[C3/m²]:[C4/m²]]),IF(MOD(AW$2,Materialedata[[#This Row],[Levetid]])=0,SUM(Materialedata[[#This Row],[A1-A3/m²]:[C4/m²]]),0))
))</f>
        <v>2.4800918918918917</v>
      </c>
      <c r="AX21" s="141">
        <f>IF(AX$2&gt;Input_Tidshorisont,BlankTegn,IF(AX$2=0,SUM(Materialedata[[#This Row],[A1-A3/m²]:[A4/m²]]),
AW21+IF(AX$2=Input_Tidshorisont,SUM(Materialedata[[#This Row],[C3/m²]:[C4/m²]]),IF(MOD(AX$2,Materialedata[[#This Row],[Levetid]])=0,SUM(Materialedata[[#This Row],[A1-A3/m²]:[C4/m²]]),0))
))</f>
        <v>2.4800918918918917</v>
      </c>
      <c r="AY21" s="141">
        <f>IF(AY$2&gt;Input_Tidshorisont,BlankTegn,IF(AY$2=0,SUM(Materialedata[[#This Row],[A1-A3/m²]:[A4/m²]]),
AX21+IF(AY$2=Input_Tidshorisont,SUM(Materialedata[[#This Row],[C3/m²]:[C4/m²]]),IF(MOD(AY$2,Materialedata[[#This Row],[Levetid]])=0,SUM(Materialedata[[#This Row],[A1-A3/m²]:[C4/m²]]),0))
))</f>
        <v>2.4800918918918917</v>
      </c>
      <c r="AZ21" s="141">
        <f>IF(AZ$2&gt;Input_Tidshorisont,BlankTegn,IF(AZ$2=0,SUM(Materialedata[[#This Row],[A1-A3/m²]:[A4/m²]]),
AY21+IF(AZ$2=Input_Tidshorisont,SUM(Materialedata[[#This Row],[C3/m²]:[C4/m²]]),IF(MOD(AZ$2,Materialedata[[#This Row],[Levetid]])=0,SUM(Materialedata[[#This Row],[A1-A3/m²]:[C4/m²]]),0))
))</f>
        <v>2.4800918918918917</v>
      </c>
      <c r="BA21" s="141">
        <f>IF(BA$2&gt;Input_Tidshorisont,BlankTegn,IF(BA$2=0,SUM(Materialedata[[#This Row],[A1-A3/m²]:[A4/m²]]),
AZ21+IF(BA$2=Input_Tidshorisont,SUM(Materialedata[[#This Row],[C3/m²]:[C4/m²]]),IF(MOD(BA$2,Materialedata[[#This Row],[Levetid]])=0,SUM(Materialedata[[#This Row],[A1-A3/m²]:[C4/m²]]),0))
))</f>
        <v>2.4800918918918917</v>
      </c>
      <c r="BB21" s="141">
        <f>IF(BB$2&gt;Input_Tidshorisont,BlankTegn,IF(BB$2=0,SUM(Materialedata[[#This Row],[A1-A3/m²]:[A4/m²]]),
BA21+IF(BB$2=Input_Tidshorisont,SUM(Materialedata[[#This Row],[C3/m²]:[C4/m²]]),IF(MOD(BB$2,Materialedata[[#This Row],[Levetid]])=0,SUM(Materialedata[[#This Row],[A1-A3/m²]:[C4/m²]]),0))
))</f>
        <v>2.4800918918918917</v>
      </c>
      <c r="BC21" s="141">
        <f>IF(BC$2&gt;Input_Tidshorisont,BlankTegn,IF(BC$2=0,SUM(Materialedata[[#This Row],[A1-A3/m²]:[A4/m²]]),
BB21+IF(BC$2=Input_Tidshorisont,SUM(Materialedata[[#This Row],[C3/m²]:[C4/m²]]),IF(MOD(BC$2,Materialedata[[#This Row],[Levetid]])=0,SUM(Materialedata[[#This Row],[A1-A3/m²]:[C4/m²]]),0))
))</f>
        <v>2.4800918918918917</v>
      </c>
      <c r="BD21" s="141">
        <f>IF(BD$2&gt;Input_Tidshorisont,BlankTegn,IF(BD$2=0,SUM(Materialedata[[#This Row],[A1-A3/m²]:[A4/m²]]),
BC21+IF(BD$2=Input_Tidshorisont,SUM(Materialedata[[#This Row],[C3/m²]:[C4/m²]]),IF(MOD(BD$2,Materialedata[[#This Row],[Levetid]])=0,SUM(Materialedata[[#This Row],[A1-A3/m²]:[C4/m²]]),0))
))</f>
        <v>2.4800918918918917</v>
      </c>
      <c r="BE21" s="141">
        <f>IF(BE$2&gt;Input_Tidshorisont,BlankTegn,IF(BE$2=0,SUM(Materialedata[[#This Row],[A1-A3/m²]:[A4/m²]]),
BD21+IF(BE$2=Input_Tidshorisont,SUM(Materialedata[[#This Row],[C3/m²]:[C4/m²]]),IF(MOD(BE$2,Materialedata[[#This Row],[Levetid]])=0,SUM(Materialedata[[#This Row],[A1-A3/m²]:[C4/m²]]),0))
))</f>
        <v>2.4800918918918917</v>
      </c>
      <c r="BF21" s="141">
        <f>IF(BF$2&gt;Input_Tidshorisont,BlankTegn,IF(BF$2=0,SUM(Materialedata[[#This Row],[A1-A3/m²]:[A4/m²]]),
BE21+IF(BF$2=Input_Tidshorisont,SUM(Materialedata[[#This Row],[C3/m²]:[C4/m²]]),IF(MOD(BF$2,Materialedata[[#This Row],[Levetid]])=0,SUM(Materialedata[[#This Row],[A1-A3/m²]:[C4/m²]]),0))
))</f>
        <v>2.4800918918918917</v>
      </c>
      <c r="BG21" s="141">
        <f>IF(BG$2&gt;Input_Tidshorisont,BlankTegn,IF(BG$2=0,SUM(Materialedata[[#This Row],[A1-A3/m²]:[A4/m²]]),
BF21+IF(BG$2=Input_Tidshorisont,SUM(Materialedata[[#This Row],[C3/m²]:[C4/m²]]),IF(MOD(BG$2,Materialedata[[#This Row],[Levetid]])=0,SUM(Materialedata[[#This Row],[A1-A3/m²]:[C4/m²]]),0))
))</f>
        <v>2.4800918918918917</v>
      </c>
      <c r="BH21" s="141">
        <f>IF(BH$2&gt;Input_Tidshorisont,BlankTegn,IF(BH$2=0,SUM(Materialedata[[#This Row],[A1-A3/m²]:[A4/m²]]),
BG21+IF(BH$2=Input_Tidshorisont,SUM(Materialedata[[#This Row],[C3/m²]:[C4/m²]]),IF(MOD(BH$2,Materialedata[[#This Row],[Levetid]])=0,SUM(Materialedata[[#This Row],[A1-A3/m²]:[C4/m²]]),0))
))</f>
        <v>2.4800918918918917</v>
      </c>
      <c r="BI21" s="141">
        <f>IF(BI$2&gt;Input_Tidshorisont,BlankTegn,IF(BI$2=0,SUM(Materialedata[[#This Row],[A1-A3/m²]:[A4/m²]]),
BH21+IF(BI$2=Input_Tidshorisont,SUM(Materialedata[[#This Row],[C3/m²]:[C4/m²]]),IF(MOD(BI$2,Materialedata[[#This Row],[Levetid]])=0,SUM(Materialedata[[#This Row],[A1-A3/m²]:[C4/m²]]),0))
))</f>
        <v>2.4800918918918917</v>
      </c>
      <c r="BJ21" s="141">
        <f>IF(BJ$2&gt;Input_Tidshorisont,BlankTegn,IF(BJ$2=0,SUM(Materialedata[[#This Row],[A1-A3/m²]:[A4/m²]]),
BI21+IF(BJ$2=Input_Tidshorisont,SUM(Materialedata[[#This Row],[C3/m²]:[C4/m²]]),IF(MOD(BJ$2,Materialedata[[#This Row],[Levetid]])=0,SUM(Materialedata[[#This Row],[A1-A3/m²]:[C4/m²]]),0))
))</f>
        <v>2.4800918918918917</v>
      </c>
      <c r="BK21" s="141">
        <f>IF(BK$2&gt;Input_Tidshorisont,BlankTegn,IF(BK$2=0,SUM(Materialedata[[#This Row],[A1-A3/m²]:[A4/m²]]),
BJ21+IF(BK$2=Input_Tidshorisont,SUM(Materialedata[[#This Row],[C3/m²]:[C4/m²]]),IF(MOD(BK$2,Materialedata[[#This Row],[Levetid]])=0,SUM(Materialedata[[#This Row],[A1-A3/m²]:[C4/m²]]),0))
))</f>
        <v>2.4800918918918917</v>
      </c>
      <c r="BL21" s="141">
        <f>IF(BL$2&gt;Input_Tidshorisont,BlankTegn,IF(BL$2=0,SUM(Materialedata[[#This Row],[A1-A3/m²]:[A4/m²]]),
BK21+IF(BL$2=Input_Tidshorisont,SUM(Materialedata[[#This Row],[C3/m²]:[C4/m²]]),IF(MOD(BL$2,Materialedata[[#This Row],[Levetid]])=0,SUM(Materialedata[[#This Row],[A1-A3/m²]:[C4/m²]]),0))
))</f>
        <v>2.4800918918918917</v>
      </c>
      <c r="BM21" s="141">
        <f>IF(BM$2&gt;Input_Tidshorisont,BlankTegn,IF(BM$2=0,SUM(Materialedata[[#This Row],[A1-A3/m²]:[A4/m²]]),
BL21+IF(BM$2=Input_Tidshorisont,SUM(Materialedata[[#This Row],[C3/m²]:[C4/m²]]),IF(MOD(BM$2,Materialedata[[#This Row],[Levetid]])=0,SUM(Materialedata[[#This Row],[A1-A3/m²]:[C4/m²]]),0))
))</f>
        <v>2.4800918918918917</v>
      </c>
      <c r="BN21" s="141">
        <f>IF(BN$2&gt;Input_Tidshorisont,BlankTegn,IF(BN$2=0,SUM(Materialedata[[#This Row],[A1-A3/m²]:[A4/m²]]),
BM21+IF(BN$2=Input_Tidshorisont,SUM(Materialedata[[#This Row],[C3/m²]:[C4/m²]]),IF(MOD(BN$2,Materialedata[[#This Row],[Levetid]])=0,SUM(Materialedata[[#This Row],[A1-A3/m²]:[C4/m²]]),0))
))</f>
        <v>2.4800918918918917</v>
      </c>
      <c r="BO21" s="141">
        <f>IF(BO$2&gt;Input_Tidshorisont,BlankTegn,IF(BO$2=0,SUM(Materialedata[[#This Row],[A1-A3/m²]:[A4/m²]]),
BN21+IF(BO$2=Input_Tidshorisont,SUM(Materialedata[[#This Row],[C3/m²]:[C4/m²]]),IF(MOD(BO$2,Materialedata[[#This Row],[Levetid]])=0,SUM(Materialedata[[#This Row],[A1-A3/m²]:[C4/m²]]),0))
))</f>
        <v>2.4800918918918917</v>
      </c>
      <c r="BP21" s="141">
        <f>IF(BP$2&gt;Input_Tidshorisont,BlankTegn,IF(BP$2=0,SUM(Materialedata[[#This Row],[A1-A3/m²]:[A4/m²]]),
BO21+IF(BP$2=Input_Tidshorisont,SUM(Materialedata[[#This Row],[C3/m²]:[C4/m²]]),IF(MOD(BP$2,Materialedata[[#This Row],[Levetid]])=0,SUM(Materialedata[[#This Row],[A1-A3/m²]:[C4/m²]]),0))
))</f>
        <v>2.4800918918918917</v>
      </c>
      <c r="BQ21" s="141">
        <f>IF(BQ$2&gt;Input_Tidshorisont,BlankTegn,IF(BQ$2=0,SUM(Materialedata[[#This Row],[A1-A3/m²]:[A4/m²]]),
BP21+IF(BQ$2=Input_Tidshorisont,SUM(Materialedata[[#This Row],[C3/m²]:[C4/m²]]),IF(MOD(BQ$2,Materialedata[[#This Row],[Levetid]])=0,SUM(Materialedata[[#This Row],[A1-A3/m²]:[C4/m²]]),0))
))</f>
        <v>2.4800918918918917</v>
      </c>
      <c r="BR21" s="141">
        <f>IF(BR$2&gt;Input_Tidshorisont,BlankTegn,IF(BR$2=0,SUM(Materialedata[[#This Row],[A1-A3/m²]:[A4/m²]]),
BQ21+IF(BR$2=Input_Tidshorisont,SUM(Materialedata[[#This Row],[C3/m²]:[C4/m²]]),IF(MOD(BR$2,Materialedata[[#This Row],[Levetid]])=0,SUM(Materialedata[[#This Row],[A1-A3/m²]:[C4/m²]]),0))
))</f>
        <v>2.4800918918918917</v>
      </c>
      <c r="BS21" s="141">
        <f>IF(BS$2&gt;Input_Tidshorisont,BlankTegn,IF(BS$2=0,SUM(Materialedata[[#This Row],[A1-A3/m²]:[A4/m²]]),
BR21+IF(BS$2=Input_Tidshorisont,SUM(Materialedata[[#This Row],[C3/m²]:[C4/m²]]),IF(MOD(BS$2,Materialedata[[#This Row],[Levetid]])=0,SUM(Materialedata[[#This Row],[A1-A3/m²]:[C4/m²]]),0))
))</f>
        <v>2.4800918918918917</v>
      </c>
      <c r="BT21" s="141">
        <f>IF(BT$2&gt;Input_Tidshorisont,BlankTegn,IF(BT$2=0,SUM(Materialedata[[#This Row],[A1-A3/m²]:[A4/m²]]),
BS21+IF(BT$2=Input_Tidshorisont,SUM(Materialedata[[#This Row],[C3/m²]:[C4/m²]]),IF(MOD(BT$2,Materialedata[[#This Row],[Levetid]])=0,SUM(Materialedata[[#This Row],[A1-A3/m²]:[C4/m²]]),0))
))</f>
        <v>2.4800918918918917</v>
      </c>
      <c r="BU21" s="141">
        <f>IF(BU$2&gt;Input_Tidshorisont,BlankTegn,IF(BU$2=0,SUM(Materialedata[[#This Row],[A1-A3/m²]:[A4/m²]]),
BT21+IF(BU$2=Input_Tidshorisont,SUM(Materialedata[[#This Row],[C3/m²]:[C4/m²]]),IF(MOD(BU$2,Materialedata[[#This Row],[Levetid]])=0,SUM(Materialedata[[#This Row],[A1-A3/m²]:[C4/m²]]),0))
))</f>
        <v>2.4800918918918917</v>
      </c>
      <c r="BV21" s="141">
        <f>IF(BV$2&gt;Input_Tidshorisont,BlankTegn,IF(BV$2=0,SUM(Materialedata[[#This Row],[A1-A3/m²]:[A4/m²]]),
BU21+IF(BV$2=Input_Tidshorisont,SUM(Materialedata[[#This Row],[C3/m²]:[C4/m²]]),IF(MOD(BV$2,Materialedata[[#This Row],[Levetid]])=0,SUM(Materialedata[[#This Row],[A1-A3/m²]:[C4/m²]]),0))
))</f>
        <v>2.4800918918918917</v>
      </c>
      <c r="BW21" s="141">
        <f>IF(BW$2&gt;Input_Tidshorisont,BlankTegn,IF(BW$2=0,SUM(Materialedata[[#This Row],[A1-A3/m²]:[A4/m²]]),
BV21+IF(BW$2=Input_Tidshorisont,SUM(Materialedata[[#This Row],[C3/m²]:[C4/m²]]),IF(MOD(BW$2,Materialedata[[#This Row],[Levetid]])=0,SUM(Materialedata[[#This Row],[A1-A3/m²]:[C4/m²]]),0))
))</f>
        <v>2.4800918918918917</v>
      </c>
      <c r="BX21" s="141">
        <f>IF(BX$2&gt;Input_Tidshorisont,BlankTegn,IF(BX$2=0,SUM(Materialedata[[#This Row],[A1-A3/m²]:[A4/m²]]),
BW21+IF(BX$2=Input_Tidshorisont,SUM(Materialedata[[#This Row],[C3/m²]:[C4/m²]]),IF(MOD(BX$2,Materialedata[[#This Row],[Levetid]])=0,SUM(Materialedata[[#This Row],[A1-A3/m²]:[C4/m²]]),0))
))</f>
        <v>2.4800918918918917</v>
      </c>
      <c r="BY21" s="141">
        <f>IF(BY$2&gt;Input_Tidshorisont,BlankTegn,IF(BY$2=0,SUM(Materialedata[[#This Row],[A1-A3/m²]:[A4/m²]]),
BX21+IF(BY$2=Input_Tidshorisont,SUM(Materialedata[[#This Row],[C3/m²]:[C4/m²]]),IF(MOD(BY$2,Materialedata[[#This Row],[Levetid]])=0,SUM(Materialedata[[#This Row],[A1-A3/m²]:[C4/m²]]),0))
))</f>
        <v>2.4800918918918917</v>
      </c>
      <c r="BZ21" s="141">
        <f>IF(BZ$2&gt;Input_Tidshorisont,BlankTegn,IF(BZ$2=0,SUM(Materialedata[[#This Row],[A1-A3/m²]:[A4/m²]]),
BY21+IF(BZ$2=Input_Tidshorisont,SUM(Materialedata[[#This Row],[C3/m²]:[C4/m²]]),IF(MOD(BZ$2,Materialedata[[#This Row],[Levetid]])=0,SUM(Materialedata[[#This Row],[A1-A3/m²]:[C4/m²]]),0))
))</f>
        <v>2.4800918918918917</v>
      </c>
      <c r="CA21" s="141">
        <f>IF(CA$2&gt;Input_Tidshorisont,BlankTegn,IF(CA$2=0,SUM(Materialedata[[#This Row],[A1-A3/m²]:[A4/m²]]),
BZ21+IF(CA$2=Input_Tidshorisont,SUM(Materialedata[[#This Row],[C3/m²]:[C4/m²]]),IF(MOD(CA$2,Materialedata[[#This Row],[Levetid]])=0,SUM(Materialedata[[#This Row],[A1-A3/m²]:[C4/m²]]),0))
))</f>
        <v>2.4800918918918917</v>
      </c>
      <c r="CB21" s="141">
        <f>IF(CB$2&gt;Input_Tidshorisont,BlankTegn,IF(CB$2=0,SUM(Materialedata[[#This Row],[A1-A3/m²]:[A4/m²]]),
CA21+IF(CB$2=Input_Tidshorisont,SUM(Materialedata[[#This Row],[C3/m²]:[C4/m²]]),IF(MOD(CB$2,Materialedata[[#This Row],[Levetid]])=0,SUM(Materialedata[[#This Row],[A1-A3/m²]:[C4/m²]]),0))
))</f>
        <v>2.4800918918918917</v>
      </c>
      <c r="CC21" s="141">
        <f>IF(CC$2&gt;Input_Tidshorisont,BlankTegn,IF(CC$2=0,SUM(Materialedata[[#This Row],[A1-A3/m²]:[A4/m²]]),
CB21+IF(CC$2=Input_Tidshorisont,SUM(Materialedata[[#This Row],[C3/m²]:[C4/m²]]),IF(MOD(CC$2,Materialedata[[#This Row],[Levetid]])=0,SUM(Materialedata[[#This Row],[A1-A3/m²]:[C4/m²]]),0))
))</f>
        <v>2.4800918918918917</v>
      </c>
      <c r="CD21" s="141">
        <f>IF(CD$2&gt;Input_Tidshorisont,BlankTegn,IF(CD$2=0,SUM(Materialedata[[#This Row],[A1-A3/m²]:[A4/m²]]),
CC21+IF(CD$2=Input_Tidshorisont,SUM(Materialedata[[#This Row],[C3/m²]:[C4/m²]]),IF(MOD(CD$2,Materialedata[[#This Row],[Levetid]])=0,SUM(Materialedata[[#This Row],[A1-A3/m²]:[C4/m²]]),0))
))</f>
        <v>2.4800918918918917</v>
      </c>
      <c r="CE21" s="141">
        <f>IF(CE$2&gt;Input_Tidshorisont,BlankTegn,IF(CE$2=0,SUM(Materialedata[[#This Row],[A1-A3/m²]:[A4/m²]]),
CD21+IF(CE$2=Input_Tidshorisont,SUM(Materialedata[[#This Row],[C3/m²]:[C4/m²]]),IF(MOD(CE$2,Materialedata[[#This Row],[Levetid]])=0,SUM(Materialedata[[#This Row],[A1-A3/m²]:[C4/m²]]),0))
))</f>
        <v>2.4800918918918917</v>
      </c>
      <c r="CF21" s="141">
        <f>IF(CF$2&gt;Input_Tidshorisont,BlankTegn,IF(CF$2=0,SUM(Materialedata[[#This Row],[A1-A3/m²]:[A4/m²]]),
CE21+IF(CF$2=Input_Tidshorisont,SUM(Materialedata[[#This Row],[C3/m²]:[C4/m²]]),IF(MOD(CF$2,Materialedata[[#This Row],[Levetid]])=0,SUM(Materialedata[[#This Row],[A1-A3/m²]:[C4/m²]]),0))
))</f>
        <v>2.4800918918918917</v>
      </c>
      <c r="CG21" s="141">
        <f>IF(CG$2&gt;Input_Tidshorisont,BlankTegn,IF(CG$2=0,SUM(Materialedata[[#This Row],[A1-A3/m²]:[A4/m²]]),
CF21+IF(CG$2=Input_Tidshorisont,SUM(Materialedata[[#This Row],[C3/m²]:[C4/m²]]),IF(MOD(CG$2,Materialedata[[#This Row],[Levetid]])=0,SUM(Materialedata[[#This Row],[A1-A3/m²]:[C4/m²]]),0))
))</f>
        <v>2.4800918918918917</v>
      </c>
      <c r="CH21" s="141">
        <f>IF(CH$2&gt;Input_Tidshorisont,BlankTegn,IF(CH$2=0,SUM(Materialedata[[#This Row],[A1-A3/m²]:[A4/m²]]),
CG21+IF(CH$2=Input_Tidshorisont,SUM(Materialedata[[#This Row],[C3/m²]:[C4/m²]]),IF(MOD(CH$2,Materialedata[[#This Row],[Levetid]])=0,SUM(Materialedata[[#This Row],[A1-A3/m²]:[C4/m²]]),0))
))</f>
        <v>2.5530648648648646</v>
      </c>
      <c r="CI21" s="141" t="str">
        <f>IF(CI$2&gt;Input_Tidshorisont,BlankTegn,IF(CI$2=0,SUM(Materialedata[[#This Row],[A1-A3/m²]:[A4/m²]]),
CH21+IF(CI$2=Input_Tidshorisont,SUM(Materialedata[[#This Row],[C3/m²]:[C4/m²]]),IF(MOD(CI$2,Materialedata[[#This Row],[Levetid]])=0,SUM(Materialedata[[#This Row],[A1-A3/m²]:[C4/m²]]),0))
))</f>
        <v>.</v>
      </c>
      <c r="CJ21" s="141" t="str">
        <f>IF(CJ$2&gt;Input_Tidshorisont,BlankTegn,IF(CJ$2=0,SUM(Materialedata[[#This Row],[A1-A3/m²]:[A4/m²]]),
CI21+IF(CJ$2=Input_Tidshorisont,SUM(Materialedata[[#This Row],[C3/m²]:[C4/m²]]),IF(MOD(CJ$2,Materialedata[[#This Row],[Levetid]])=0,SUM(Materialedata[[#This Row],[A1-A3/m²]:[C4/m²]]),0))
))</f>
        <v>.</v>
      </c>
      <c r="CK21" s="141" t="str">
        <f>IF(CK$2&gt;Input_Tidshorisont,BlankTegn,IF(CK$2=0,SUM(Materialedata[[#This Row],[A1-A3/m²]:[A4/m²]]),
CJ21+IF(CK$2=Input_Tidshorisont,SUM(Materialedata[[#This Row],[C3/m²]:[C4/m²]]),IF(MOD(CK$2,Materialedata[[#This Row],[Levetid]])=0,SUM(Materialedata[[#This Row],[A1-A3/m²]:[C4/m²]]),0))
))</f>
        <v>.</v>
      </c>
      <c r="CL21" s="141" t="str">
        <f>IF(CL$2&gt;Input_Tidshorisont,BlankTegn,IF(CL$2=0,SUM(Materialedata[[#This Row],[A1-A3/m²]:[A4/m²]]),
CK21+IF(CL$2=Input_Tidshorisont,SUM(Materialedata[[#This Row],[C3/m²]:[C4/m²]]),IF(MOD(CL$2,Materialedata[[#This Row],[Levetid]])=0,SUM(Materialedata[[#This Row],[A1-A3/m²]:[C4/m²]]),0))
))</f>
        <v>.</v>
      </c>
      <c r="CM21" s="141" t="str">
        <f>IF(CM$2&gt;Input_Tidshorisont,BlankTegn,IF(CM$2=0,SUM(Materialedata[[#This Row],[A1-A3/m²]:[A4/m²]]),
CL21+IF(CM$2=Input_Tidshorisont,SUM(Materialedata[[#This Row],[C3/m²]:[C4/m²]]),IF(MOD(CM$2,Materialedata[[#This Row],[Levetid]])=0,SUM(Materialedata[[#This Row],[A1-A3/m²]:[C4/m²]]),0))
))</f>
        <v>.</v>
      </c>
      <c r="CN21" s="141" t="str">
        <f>IF(CN$2&gt;Input_Tidshorisont,BlankTegn,IF(CN$2=0,SUM(Materialedata[[#This Row],[A1-A3/m²]:[A4/m²]]),
CM21+IF(CN$2=Input_Tidshorisont,SUM(Materialedata[[#This Row],[C3/m²]:[C4/m²]]),IF(MOD(CN$2,Materialedata[[#This Row],[Levetid]])=0,SUM(Materialedata[[#This Row],[A1-A3/m²]:[C4/m²]]),0))
))</f>
        <v>.</v>
      </c>
      <c r="CO21" s="141" t="str">
        <f>IF(CO$2&gt;Input_Tidshorisont,BlankTegn,IF(CO$2=0,SUM(Materialedata[[#This Row],[A1-A3/m²]:[A4/m²]]),
CN21+IF(CO$2=Input_Tidshorisont,SUM(Materialedata[[#This Row],[C3/m²]:[C4/m²]]),IF(MOD(CO$2,Materialedata[[#This Row],[Levetid]])=0,SUM(Materialedata[[#This Row],[A1-A3/m²]:[C4/m²]]),0))
))</f>
        <v>.</v>
      </c>
      <c r="CP21" s="141" t="str">
        <f>IF(CP$2&gt;Input_Tidshorisont,BlankTegn,IF(CP$2=0,SUM(Materialedata[[#This Row],[A1-A3/m²]:[A4/m²]]),
CO21+IF(CP$2=Input_Tidshorisont,SUM(Materialedata[[#This Row],[C3/m²]:[C4/m²]]),IF(MOD(CP$2,Materialedata[[#This Row],[Levetid]])=0,SUM(Materialedata[[#This Row],[A1-A3/m²]:[C4/m²]]),0))
))</f>
        <v>.</v>
      </c>
      <c r="CQ21" s="141" t="str">
        <f>IF(CQ$2&gt;Input_Tidshorisont,BlankTegn,IF(CQ$2=0,SUM(Materialedata[[#This Row],[A1-A3/m²]:[A4/m²]]),
CP21+IF(CQ$2=Input_Tidshorisont,SUM(Materialedata[[#This Row],[C3/m²]:[C4/m²]]),IF(MOD(CQ$2,Materialedata[[#This Row],[Levetid]])=0,SUM(Materialedata[[#This Row],[A1-A3/m²]:[C4/m²]]),0))
))</f>
        <v>.</v>
      </c>
      <c r="CR21" s="141" t="str">
        <f>IF(CR$2&gt;Input_Tidshorisont,BlankTegn,IF(CR$2=0,SUM(Materialedata[[#This Row],[A1-A3/m²]:[A4/m²]]),
CQ21+IF(CR$2=Input_Tidshorisont,SUM(Materialedata[[#This Row],[C3/m²]:[C4/m²]]),IF(MOD(CR$2,Materialedata[[#This Row],[Levetid]])=0,SUM(Materialedata[[#This Row],[A1-A3/m²]:[C4/m²]]),0))
))</f>
        <v>.</v>
      </c>
      <c r="CS21" s="141" t="str">
        <f>IF(CS$2&gt;Input_Tidshorisont,BlankTegn,IF(CS$2=0,SUM(Materialedata[[#This Row],[A1-A3/m²]:[A4/m²]]),
CR21+IF(CS$2=Input_Tidshorisont,SUM(Materialedata[[#This Row],[C3/m²]:[C4/m²]]),IF(MOD(CS$2,Materialedata[[#This Row],[Levetid]])=0,SUM(Materialedata[[#This Row],[A1-A3/m²]:[C4/m²]]),0))
))</f>
        <v>.</v>
      </c>
      <c r="CT21" s="141" t="str">
        <f>IF(CT$2&gt;Input_Tidshorisont,BlankTegn,IF(CT$2=0,SUM(Materialedata[[#This Row],[A1-A3/m²]:[A4/m²]]),
CS21+IF(CT$2=Input_Tidshorisont,SUM(Materialedata[[#This Row],[C3/m²]:[C4/m²]]),IF(MOD(CT$2,Materialedata[[#This Row],[Levetid]])=0,SUM(Materialedata[[#This Row],[A1-A3/m²]:[C4/m²]]),0))
))</f>
        <v>.</v>
      </c>
      <c r="CU21" s="141" t="str">
        <f>IF(CU$2&gt;Input_Tidshorisont,BlankTegn,IF(CU$2=0,SUM(Materialedata[[#This Row],[A1-A3/m²]:[A4/m²]]),
CT21+IF(CU$2=Input_Tidshorisont,SUM(Materialedata[[#This Row],[C3/m²]:[C4/m²]]),IF(MOD(CU$2,Materialedata[[#This Row],[Levetid]])=0,SUM(Materialedata[[#This Row],[A1-A3/m²]:[C4/m²]]),0))
))</f>
        <v>.</v>
      </c>
      <c r="CV21" s="141" t="str">
        <f>IF(CV$2&gt;Input_Tidshorisont,BlankTegn,IF(CV$2=0,SUM(Materialedata[[#This Row],[A1-A3/m²]:[A4/m²]]),
CU21+IF(CV$2=Input_Tidshorisont,SUM(Materialedata[[#This Row],[C3/m²]:[C4/m²]]),IF(MOD(CV$2,Materialedata[[#This Row],[Levetid]])=0,SUM(Materialedata[[#This Row],[A1-A3/m²]:[C4/m²]]),0))
))</f>
        <v>.</v>
      </c>
      <c r="CW21" s="141" t="str">
        <f>IF(CW$2&gt;Input_Tidshorisont,BlankTegn,IF(CW$2=0,SUM(Materialedata[[#This Row],[A1-A3/m²]:[A4/m²]]),
CV21+IF(CW$2=Input_Tidshorisont,SUM(Materialedata[[#This Row],[C3/m²]:[C4/m²]]),IF(MOD(CW$2,Materialedata[[#This Row],[Levetid]])=0,SUM(Materialedata[[#This Row],[A1-A3/m²]:[C4/m²]]),0))
))</f>
        <v>.</v>
      </c>
      <c r="CX21" s="141" t="str">
        <f>IF(CX$2&gt;Input_Tidshorisont,BlankTegn,IF(CX$2=0,SUM(Materialedata[[#This Row],[A1-A3/m²]:[A4/m²]]),
CW21+IF(CX$2=Input_Tidshorisont,SUM(Materialedata[[#This Row],[C3/m²]:[C4/m²]]),IF(MOD(CX$2,Materialedata[[#This Row],[Levetid]])=0,SUM(Materialedata[[#This Row],[A1-A3/m²]:[C4/m²]]),0))
))</f>
        <v>.</v>
      </c>
      <c r="CY21" s="141" t="str">
        <f>IF(CY$2&gt;Input_Tidshorisont,BlankTegn,IF(CY$2=0,SUM(Materialedata[[#This Row],[A1-A3/m²]:[A4/m²]]),
CX21+IF(CY$2=Input_Tidshorisont,SUM(Materialedata[[#This Row],[C3/m²]:[C4/m²]]),IF(MOD(CY$2,Materialedata[[#This Row],[Levetid]])=0,SUM(Materialedata[[#This Row],[A1-A3/m²]:[C4/m²]]),0))
))</f>
        <v>.</v>
      </c>
      <c r="CZ21" s="141" t="str">
        <f>IF(CZ$2&gt;Input_Tidshorisont,BlankTegn,IF(CZ$2=0,SUM(Materialedata[[#This Row],[A1-A3/m²]:[A4/m²]]),
CY21+IF(CZ$2=Input_Tidshorisont,SUM(Materialedata[[#This Row],[C3/m²]:[C4/m²]]),IF(MOD(CZ$2,Materialedata[[#This Row],[Levetid]])=0,SUM(Materialedata[[#This Row],[A1-A3/m²]:[C4/m²]]),0))
))</f>
        <v>.</v>
      </c>
      <c r="DA21" s="141" t="str">
        <f>IF(DA$2&gt;Input_Tidshorisont,BlankTegn,IF(DA$2=0,SUM(Materialedata[[#This Row],[A1-A3/m²]:[A4/m²]]),
CZ21+IF(DA$2=Input_Tidshorisont,SUM(Materialedata[[#This Row],[C3/m²]:[C4/m²]]),IF(MOD(DA$2,Materialedata[[#This Row],[Levetid]])=0,SUM(Materialedata[[#This Row],[A1-A3/m²]:[C4/m²]]),0))
))</f>
        <v>.</v>
      </c>
      <c r="DB21" s="141" t="str">
        <f>IF(DB$2&gt;Input_Tidshorisont,BlankTegn,IF(DB$2=0,SUM(Materialedata[[#This Row],[A1-A3/m²]:[A4/m²]]),
DA21+IF(DB$2=Input_Tidshorisont,SUM(Materialedata[[#This Row],[C3/m²]:[C4/m²]]),IF(MOD(DB$2,Materialedata[[#This Row],[Levetid]])=0,SUM(Materialedata[[#This Row],[A1-A3/m²]:[C4/m²]]),0))
))</f>
        <v>.</v>
      </c>
      <c r="DC21" s="141" t="str">
        <f>IF(DC$2&gt;Input_Tidshorisont,BlankTegn,IF(DC$2=0,SUM(Materialedata[[#This Row],[A1-A3/m²]:[A4/m²]]),
DB21+IF(DC$2=Input_Tidshorisont,SUM(Materialedata[[#This Row],[C3/m²]:[C4/m²]]),IF(MOD(DC$2,Materialedata[[#This Row],[Levetid]])=0,SUM(Materialedata[[#This Row],[A1-A3/m²]:[C4/m²]]),0))
))</f>
        <v>.</v>
      </c>
      <c r="DD21" s="141" t="str">
        <f>IF(DD$2&gt;Input_Tidshorisont,BlankTegn,IF(DD$2=0,SUM(Materialedata[[#This Row],[A1-A3/m²]:[A4/m²]]),
DC21+IF(DD$2=Input_Tidshorisont,SUM(Materialedata[[#This Row],[C3/m²]:[C4/m²]]),IF(MOD(DD$2,Materialedata[[#This Row],[Levetid]])=0,SUM(Materialedata[[#This Row],[A1-A3/m²]:[C4/m²]]),0))
))</f>
        <v>.</v>
      </c>
      <c r="DE21" s="141" t="str">
        <f>IF(DE$2&gt;Input_Tidshorisont,BlankTegn,IF(DE$2=0,SUM(Materialedata[[#This Row],[A1-A3/m²]:[A4/m²]]),
DD21+IF(DE$2=Input_Tidshorisont,SUM(Materialedata[[#This Row],[C3/m²]:[C4/m²]]),IF(MOD(DE$2,Materialedata[[#This Row],[Levetid]])=0,SUM(Materialedata[[#This Row],[A1-A3/m²]:[C4/m²]]),0))
))</f>
        <v>.</v>
      </c>
      <c r="DF21" s="141" t="str">
        <f>IF(DF$2&gt;Input_Tidshorisont,BlankTegn,IF(DF$2=0,SUM(Materialedata[[#This Row],[A1-A3/m²]:[A4/m²]]),
DE21+IF(DF$2=Input_Tidshorisont,SUM(Materialedata[[#This Row],[C3/m²]:[C4/m²]]),IF(MOD(DF$2,Materialedata[[#This Row],[Levetid]])=0,SUM(Materialedata[[#This Row],[A1-A3/m²]:[C4/m²]]),0))
))</f>
        <v>.</v>
      </c>
      <c r="DG21" s="141" t="str">
        <f>IF(DG$2&gt;Input_Tidshorisont,BlankTegn,IF(DG$2=0,SUM(Materialedata[[#This Row],[A1-A3/m²]:[A4/m²]]),
DF21+IF(DG$2=Input_Tidshorisont,SUM(Materialedata[[#This Row],[C3/m²]:[C4/m²]]),IF(MOD(DG$2,Materialedata[[#This Row],[Levetid]])=0,SUM(Materialedata[[#This Row],[A1-A3/m²]:[C4/m²]]),0))
))</f>
        <v>.</v>
      </c>
      <c r="DH21" s="141" t="str">
        <f>IF(DH$2&gt;Input_Tidshorisont,BlankTegn,IF(DH$2=0,SUM(Materialedata[[#This Row],[A1-A3/m²]:[A4/m²]]),
DG21+IF(DH$2=Input_Tidshorisont,SUM(Materialedata[[#This Row],[C3/m²]:[C4/m²]]),IF(MOD(DH$2,Materialedata[[#This Row],[Levetid]])=0,SUM(Materialedata[[#This Row],[A1-A3/m²]:[C4/m²]]),0))
))</f>
        <v>.</v>
      </c>
      <c r="DI21" s="141" t="str">
        <f>IF(DI$2&gt;Input_Tidshorisont,BlankTegn,IF(DI$2=0,SUM(Materialedata[[#This Row],[A1-A3/m²]:[A4/m²]]),
DH21+IF(DI$2=Input_Tidshorisont,SUM(Materialedata[[#This Row],[C3/m²]:[C4/m²]]),IF(MOD(DI$2,Materialedata[[#This Row],[Levetid]])=0,SUM(Materialedata[[#This Row],[A1-A3/m²]:[C4/m²]]),0))
))</f>
        <v>.</v>
      </c>
      <c r="DJ21" s="141" t="str">
        <f>IF(DJ$2&gt;Input_Tidshorisont,BlankTegn,IF(DJ$2=0,SUM(Materialedata[[#This Row],[A1-A3/m²]:[A4/m²]]),
DI21+IF(DJ$2=Input_Tidshorisont,SUM(Materialedata[[#This Row],[C3/m²]:[C4/m²]]),IF(MOD(DJ$2,Materialedata[[#This Row],[Levetid]])=0,SUM(Materialedata[[#This Row],[A1-A3/m²]:[C4/m²]]),0))
))</f>
        <v>.</v>
      </c>
      <c r="DK21" s="141" t="str">
        <f>IF(DK$2&gt;Input_Tidshorisont,BlankTegn,IF(DK$2=0,SUM(Materialedata[[#This Row],[A1-A3/m²]:[A4/m²]]),
DJ21+IF(DK$2=Input_Tidshorisont,SUM(Materialedata[[#This Row],[C3/m²]:[C4/m²]]),IF(MOD(DK$2,Materialedata[[#This Row],[Levetid]])=0,SUM(Materialedata[[#This Row],[A1-A3/m²]:[C4/m²]]),0))
))</f>
        <v>.</v>
      </c>
      <c r="DL21" s="141" t="str">
        <f>IF(DL$2&gt;Input_Tidshorisont,BlankTegn,IF(DL$2=0,SUM(Materialedata[[#This Row],[A1-A3/m²]:[A4/m²]]),
DK21+IF(DL$2=Input_Tidshorisont,SUM(Materialedata[[#This Row],[C3/m²]:[C4/m²]]),IF(MOD(DL$2,Materialedata[[#This Row],[Levetid]])=0,SUM(Materialedata[[#This Row],[A1-A3/m²]:[C4/m²]]),0))
))</f>
        <v>.</v>
      </c>
      <c r="DM21" s="19"/>
    </row>
    <row r="22" spans="1:117">
      <c r="A22" s="182" t="s">
        <v>248</v>
      </c>
      <c r="B22" s="182" t="s">
        <v>158</v>
      </c>
      <c r="C22" s="148" t="s">
        <v>131</v>
      </c>
      <c r="D22" s="184"/>
      <c r="E22" s="180" t="s">
        <v>276</v>
      </c>
      <c r="F22" s="182" t="s">
        <v>156</v>
      </c>
      <c r="G22" s="182">
        <v>60</v>
      </c>
      <c r="H22" s="183">
        <v>30</v>
      </c>
      <c r="I22" s="184">
        <f>0.1*1*1</f>
        <v>0.1</v>
      </c>
      <c r="J22" s="184" t="s">
        <v>232</v>
      </c>
      <c r="K22" s="182">
        <v>0.59</v>
      </c>
      <c r="L22" s="182" t="s">
        <v>221</v>
      </c>
      <c r="M22" s="185">
        <f>IF(ISBLANK(Materialedata[[#This Row],[A4-gruppe]]),BlankTegn,INDEX(Byggeproces[GWP],MATCH(Materialedata[[#This Row],[A4-gruppe]],Byggeproces[Gruppe/Undergruppe],0)))</f>
        <v>1.9599999999999999E-2</v>
      </c>
      <c r="N22" s="182">
        <v>0</v>
      </c>
      <c r="O22" s="182">
        <v>1.7999999999999999E-2</v>
      </c>
      <c r="P22" s="182">
        <v>-2.3199999999999998E-2</v>
      </c>
      <c r="Q22" s="277">
        <f>Materialedata[[#This Row],[A1-A3/standardenhed]]/0.037*Materialedata[[#This Row],[Mængde/m²]]</f>
        <v>1.5945945945945947</v>
      </c>
      <c r="R22" s="278" cm="1">
        <f t="array" ref="R22">IFERROR(_xlfn.IFS(Materialedata[[#This Row],[Mængde-enhed]]="kg/m²",Materialedata[[#This Row],[A4/kg]]*Materialedata[[#This Row],[Mængde/m²]],Materialedata[[#This Row],[Mængde-enhed]]="m³/m²",Materialedata[[#This Row],[A4/kg]]*Materialedata[[#This Row],[Mængde/m²]]*Materialedata[[#This Row],[Densitet]]),"N/A")</f>
        <v>5.8799999999999998E-2</v>
      </c>
      <c r="S22" s="277">
        <f>Materialedata[[#This Row],[C3/enhed]]/0.037*Materialedata[[#This Row],[Mængde/m²]]</f>
        <v>0</v>
      </c>
      <c r="T22" s="277">
        <f>Materialedata[[#This Row],[C4/enhed]]/0.037*Materialedata[[#This Row],[Mængde/m²]]</f>
        <v>4.8648648648648651E-2</v>
      </c>
      <c r="U22" s="277">
        <f>Materialedata[[#This Row],[D/enhed]]/0.037*Materialedata[[#This Row],[Mængde/m²]]</f>
        <v>-6.2702702702702715E-2</v>
      </c>
      <c r="V22" s="150">
        <f>IFERROR(INDEX(Range_Materiale_Genbrug,MATCH(Materialedata[[#This Row],[Komponent]],Facadekomponenter,0)),BlankTegn)</f>
        <v>0</v>
      </c>
      <c r="W22" s="150">
        <f>IFERROR(1-Materialedata[[#This Row],[Genbrug]],BlankTegn)</f>
        <v>1</v>
      </c>
      <c r="X22" s="186">
        <f>IFERROR(Materialedata[[#This Row],[A1-A3/m²_nyt]]*Materialedata[[#This Row],[Nyt]],BlankTegn)</f>
        <v>1.5945945945945947</v>
      </c>
      <c r="Y22" s="186">
        <f>Materialedata[[#This Row],[A4/m²_nyt]]</f>
        <v>5.8799999999999998E-2</v>
      </c>
      <c r="Z22" s="186">
        <f>IFERROR(Materialedata[[#This Row],[C3/m²_nyt]]*Materialedata[[#This Row],[Nyt]],BlankTegn)</f>
        <v>0</v>
      </c>
      <c r="AA22" s="186">
        <f>IFERROR(Materialedata[[#This Row],[C4/m²_nyt]]*Materialedata[[#This Row],[Nyt]],BlankTegn)</f>
        <v>4.8648648648648651E-2</v>
      </c>
      <c r="AB22" s="186">
        <f>IFERROR(Materialedata[[#This Row],[D/m²_nyt]]*Materialedata[[#This Row],[Nyt]],BlankTegn)</f>
        <v>-6.2702702702702715E-2</v>
      </c>
      <c r="AC22" s="187">
        <v>86.4</v>
      </c>
      <c r="AD22" s="188" t="s">
        <v>29</v>
      </c>
      <c r="AE22" s="182">
        <v>1</v>
      </c>
      <c r="AF22" s="189">
        <f>Materialedata[[#This Row],[Pris/enhed]]*Materialedata[[#This Row],[Omregning]]</f>
        <v>86.4</v>
      </c>
      <c r="AG22" s="190">
        <v>0.01</v>
      </c>
      <c r="AH22" s="191">
        <v>1</v>
      </c>
      <c r="AI22" s="162">
        <v>0</v>
      </c>
      <c r="AJ22" s="141">
        <f>IF(AJ$2&gt;Input_Tidshorisont,BlankTegn,IF(AJ$2=0,SUM(Materialedata[[#This Row],[A1-A3/m²]:[A4/m²]]),
AI22+IF(AJ$2=Input_Tidshorisont,SUM(Materialedata[[#This Row],[C3/m²]:[C4/m²]]),IF(MOD(AJ$2,Materialedata[[#This Row],[Levetid]])=0,SUM(Materialedata[[#This Row],[A1-A3/m²]:[C4/m²]]),0))
))</f>
        <v>1.6533945945945947</v>
      </c>
      <c r="AK22" s="141">
        <f>IF(AK$2&gt;Input_Tidshorisont,BlankTegn,IF(AK$2=0,SUM(Materialedata[[#This Row],[A1-A3/m²]:[A4/m²]]),
AJ22+IF(AK$2=Input_Tidshorisont,SUM(Materialedata[[#This Row],[C3/m²]:[C4/m²]]),IF(MOD(AK$2,Materialedata[[#This Row],[Levetid]])=0,SUM(Materialedata[[#This Row],[A1-A3/m²]:[C4/m²]]),0))
))</f>
        <v>1.6533945945945947</v>
      </c>
      <c r="AL22" s="141">
        <f>IF(AL$2&gt;Input_Tidshorisont,BlankTegn,IF(AL$2=0,SUM(Materialedata[[#This Row],[A1-A3/m²]:[A4/m²]]),
AK22+IF(AL$2=Input_Tidshorisont,SUM(Materialedata[[#This Row],[C3/m²]:[C4/m²]]),IF(MOD(AL$2,Materialedata[[#This Row],[Levetid]])=0,SUM(Materialedata[[#This Row],[A1-A3/m²]:[C4/m²]]),0))
))</f>
        <v>1.6533945945945947</v>
      </c>
      <c r="AM22" s="141">
        <f>IF(AM$2&gt;Input_Tidshorisont,BlankTegn,IF(AM$2=0,SUM(Materialedata[[#This Row],[A1-A3/m²]:[A4/m²]]),
AL22+IF(AM$2=Input_Tidshorisont,SUM(Materialedata[[#This Row],[C3/m²]:[C4/m²]]),IF(MOD(AM$2,Materialedata[[#This Row],[Levetid]])=0,SUM(Materialedata[[#This Row],[A1-A3/m²]:[C4/m²]]),0))
))</f>
        <v>1.6533945945945947</v>
      </c>
      <c r="AN22" s="141">
        <f>IF(AN$2&gt;Input_Tidshorisont,BlankTegn,IF(AN$2=0,SUM(Materialedata[[#This Row],[A1-A3/m²]:[A4/m²]]),
AM22+IF(AN$2=Input_Tidshorisont,SUM(Materialedata[[#This Row],[C3/m²]:[C4/m²]]),IF(MOD(AN$2,Materialedata[[#This Row],[Levetid]])=0,SUM(Materialedata[[#This Row],[A1-A3/m²]:[C4/m²]]),0))
))</f>
        <v>1.6533945945945947</v>
      </c>
      <c r="AO22" s="141">
        <f>IF(AO$2&gt;Input_Tidshorisont,BlankTegn,IF(AO$2=0,SUM(Materialedata[[#This Row],[A1-A3/m²]:[A4/m²]]),
AN22+IF(AO$2=Input_Tidshorisont,SUM(Materialedata[[#This Row],[C3/m²]:[C4/m²]]),IF(MOD(AO$2,Materialedata[[#This Row],[Levetid]])=0,SUM(Materialedata[[#This Row],[A1-A3/m²]:[C4/m²]]),0))
))</f>
        <v>1.6533945945945947</v>
      </c>
      <c r="AP22" s="141">
        <f>IF(AP$2&gt;Input_Tidshorisont,BlankTegn,IF(AP$2=0,SUM(Materialedata[[#This Row],[A1-A3/m²]:[A4/m²]]),
AO22+IF(AP$2=Input_Tidshorisont,SUM(Materialedata[[#This Row],[C3/m²]:[C4/m²]]),IF(MOD(AP$2,Materialedata[[#This Row],[Levetid]])=0,SUM(Materialedata[[#This Row],[A1-A3/m²]:[C4/m²]]),0))
))</f>
        <v>1.6533945945945947</v>
      </c>
      <c r="AQ22" s="141">
        <f>IF(AQ$2&gt;Input_Tidshorisont,BlankTegn,IF(AQ$2=0,SUM(Materialedata[[#This Row],[A1-A3/m²]:[A4/m²]]),
AP22+IF(AQ$2=Input_Tidshorisont,SUM(Materialedata[[#This Row],[C3/m²]:[C4/m²]]),IF(MOD(AQ$2,Materialedata[[#This Row],[Levetid]])=0,SUM(Materialedata[[#This Row],[A1-A3/m²]:[C4/m²]]),0))
))</f>
        <v>1.6533945945945947</v>
      </c>
      <c r="AR22" s="141">
        <f>IF(AR$2&gt;Input_Tidshorisont,BlankTegn,IF(AR$2=0,SUM(Materialedata[[#This Row],[A1-A3/m²]:[A4/m²]]),
AQ22+IF(AR$2=Input_Tidshorisont,SUM(Materialedata[[#This Row],[C3/m²]:[C4/m²]]),IF(MOD(AR$2,Materialedata[[#This Row],[Levetid]])=0,SUM(Materialedata[[#This Row],[A1-A3/m²]:[C4/m²]]),0))
))</f>
        <v>1.6533945945945947</v>
      </c>
      <c r="AS22" s="141">
        <f>IF(AS$2&gt;Input_Tidshorisont,BlankTegn,IF(AS$2=0,SUM(Materialedata[[#This Row],[A1-A3/m²]:[A4/m²]]),
AR22+IF(AS$2=Input_Tidshorisont,SUM(Materialedata[[#This Row],[C3/m²]:[C4/m²]]),IF(MOD(AS$2,Materialedata[[#This Row],[Levetid]])=0,SUM(Materialedata[[#This Row],[A1-A3/m²]:[C4/m²]]),0))
))</f>
        <v>1.6533945945945947</v>
      </c>
      <c r="AT22" s="141">
        <f>IF(AT$2&gt;Input_Tidshorisont,BlankTegn,IF(AT$2=0,SUM(Materialedata[[#This Row],[A1-A3/m²]:[A4/m²]]),
AS22+IF(AT$2=Input_Tidshorisont,SUM(Materialedata[[#This Row],[C3/m²]:[C4/m²]]),IF(MOD(AT$2,Materialedata[[#This Row],[Levetid]])=0,SUM(Materialedata[[#This Row],[A1-A3/m²]:[C4/m²]]),0))
))</f>
        <v>1.6533945945945947</v>
      </c>
      <c r="AU22" s="141">
        <f>IF(AU$2&gt;Input_Tidshorisont,BlankTegn,IF(AU$2=0,SUM(Materialedata[[#This Row],[A1-A3/m²]:[A4/m²]]),
AT22+IF(AU$2=Input_Tidshorisont,SUM(Materialedata[[#This Row],[C3/m²]:[C4/m²]]),IF(MOD(AU$2,Materialedata[[#This Row],[Levetid]])=0,SUM(Materialedata[[#This Row],[A1-A3/m²]:[C4/m²]]),0))
))</f>
        <v>1.6533945945945947</v>
      </c>
      <c r="AV22" s="141">
        <f>IF(AV$2&gt;Input_Tidshorisont,BlankTegn,IF(AV$2=0,SUM(Materialedata[[#This Row],[A1-A3/m²]:[A4/m²]]),
AU22+IF(AV$2=Input_Tidshorisont,SUM(Materialedata[[#This Row],[C3/m²]:[C4/m²]]),IF(MOD(AV$2,Materialedata[[#This Row],[Levetid]])=0,SUM(Materialedata[[#This Row],[A1-A3/m²]:[C4/m²]]),0))
))</f>
        <v>1.6533945945945947</v>
      </c>
      <c r="AW22" s="141">
        <f>IF(AW$2&gt;Input_Tidshorisont,BlankTegn,IF(AW$2=0,SUM(Materialedata[[#This Row],[A1-A3/m²]:[A4/m²]]),
AV22+IF(AW$2=Input_Tidshorisont,SUM(Materialedata[[#This Row],[C3/m²]:[C4/m²]]),IF(MOD(AW$2,Materialedata[[#This Row],[Levetid]])=0,SUM(Materialedata[[#This Row],[A1-A3/m²]:[C4/m²]]),0))
))</f>
        <v>1.6533945945945947</v>
      </c>
      <c r="AX22" s="141">
        <f>IF(AX$2&gt;Input_Tidshorisont,BlankTegn,IF(AX$2=0,SUM(Materialedata[[#This Row],[A1-A3/m²]:[A4/m²]]),
AW22+IF(AX$2=Input_Tidshorisont,SUM(Materialedata[[#This Row],[C3/m²]:[C4/m²]]),IF(MOD(AX$2,Materialedata[[#This Row],[Levetid]])=0,SUM(Materialedata[[#This Row],[A1-A3/m²]:[C4/m²]]),0))
))</f>
        <v>1.6533945945945947</v>
      </c>
      <c r="AY22" s="141">
        <f>IF(AY$2&gt;Input_Tidshorisont,BlankTegn,IF(AY$2=0,SUM(Materialedata[[#This Row],[A1-A3/m²]:[A4/m²]]),
AX22+IF(AY$2=Input_Tidshorisont,SUM(Materialedata[[#This Row],[C3/m²]:[C4/m²]]),IF(MOD(AY$2,Materialedata[[#This Row],[Levetid]])=0,SUM(Materialedata[[#This Row],[A1-A3/m²]:[C4/m²]]),0))
))</f>
        <v>1.6533945945945947</v>
      </c>
      <c r="AZ22" s="141">
        <f>IF(AZ$2&gt;Input_Tidshorisont,BlankTegn,IF(AZ$2=0,SUM(Materialedata[[#This Row],[A1-A3/m²]:[A4/m²]]),
AY22+IF(AZ$2=Input_Tidshorisont,SUM(Materialedata[[#This Row],[C3/m²]:[C4/m²]]),IF(MOD(AZ$2,Materialedata[[#This Row],[Levetid]])=0,SUM(Materialedata[[#This Row],[A1-A3/m²]:[C4/m²]]),0))
))</f>
        <v>1.6533945945945947</v>
      </c>
      <c r="BA22" s="141">
        <f>IF(BA$2&gt;Input_Tidshorisont,BlankTegn,IF(BA$2=0,SUM(Materialedata[[#This Row],[A1-A3/m²]:[A4/m²]]),
AZ22+IF(BA$2=Input_Tidshorisont,SUM(Materialedata[[#This Row],[C3/m²]:[C4/m²]]),IF(MOD(BA$2,Materialedata[[#This Row],[Levetid]])=0,SUM(Materialedata[[#This Row],[A1-A3/m²]:[C4/m²]]),0))
))</f>
        <v>1.6533945945945947</v>
      </c>
      <c r="BB22" s="141">
        <f>IF(BB$2&gt;Input_Tidshorisont,BlankTegn,IF(BB$2=0,SUM(Materialedata[[#This Row],[A1-A3/m²]:[A4/m²]]),
BA22+IF(BB$2=Input_Tidshorisont,SUM(Materialedata[[#This Row],[C3/m²]:[C4/m²]]),IF(MOD(BB$2,Materialedata[[#This Row],[Levetid]])=0,SUM(Materialedata[[#This Row],[A1-A3/m²]:[C4/m²]]),0))
))</f>
        <v>1.6533945945945947</v>
      </c>
      <c r="BC22" s="141">
        <f>IF(BC$2&gt;Input_Tidshorisont,BlankTegn,IF(BC$2=0,SUM(Materialedata[[#This Row],[A1-A3/m²]:[A4/m²]]),
BB22+IF(BC$2=Input_Tidshorisont,SUM(Materialedata[[#This Row],[C3/m²]:[C4/m²]]),IF(MOD(BC$2,Materialedata[[#This Row],[Levetid]])=0,SUM(Materialedata[[#This Row],[A1-A3/m²]:[C4/m²]]),0))
))</f>
        <v>1.6533945945945947</v>
      </c>
      <c r="BD22" s="141">
        <f>IF(BD$2&gt;Input_Tidshorisont,BlankTegn,IF(BD$2=0,SUM(Materialedata[[#This Row],[A1-A3/m²]:[A4/m²]]),
BC22+IF(BD$2=Input_Tidshorisont,SUM(Materialedata[[#This Row],[C3/m²]:[C4/m²]]),IF(MOD(BD$2,Materialedata[[#This Row],[Levetid]])=0,SUM(Materialedata[[#This Row],[A1-A3/m²]:[C4/m²]]),0))
))</f>
        <v>1.6533945945945947</v>
      </c>
      <c r="BE22" s="141">
        <f>IF(BE$2&gt;Input_Tidshorisont,BlankTegn,IF(BE$2=0,SUM(Materialedata[[#This Row],[A1-A3/m²]:[A4/m²]]),
BD22+IF(BE$2=Input_Tidshorisont,SUM(Materialedata[[#This Row],[C3/m²]:[C4/m²]]),IF(MOD(BE$2,Materialedata[[#This Row],[Levetid]])=0,SUM(Materialedata[[#This Row],[A1-A3/m²]:[C4/m²]]),0))
))</f>
        <v>1.6533945945945947</v>
      </c>
      <c r="BF22" s="141">
        <f>IF(BF$2&gt;Input_Tidshorisont,BlankTegn,IF(BF$2=0,SUM(Materialedata[[#This Row],[A1-A3/m²]:[A4/m²]]),
BE22+IF(BF$2=Input_Tidshorisont,SUM(Materialedata[[#This Row],[C3/m²]:[C4/m²]]),IF(MOD(BF$2,Materialedata[[#This Row],[Levetid]])=0,SUM(Materialedata[[#This Row],[A1-A3/m²]:[C4/m²]]),0))
))</f>
        <v>1.6533945945945947</v>
      </c>
      <c r="BG22" s="141">
        <f>IF(BG$2&gt;Input_Tidshorisont,BlankTegn,IF(BG$2=0,SUM(Materialedata[[#This Row],[A1-A3/m²]:[A4/m²]]),
BF22+IF(BG$2=Input_Tidshorisont,SUM(Materialedata[[#This Row],[C3/m²]:[C4/m²]]),IF(MOD(BG$2,Materialedata[[#This Row],[Levetid]])=0,SUM(Materialedata[[#This Row],[A1-A3/m²]:[C4/m²]]),0))
))</f>
        <v>1.6533945945945947</v>
      </c>
      <c r="BH22" s="141">
        <f>IF(BH$2&gt;Input_Tidshorisont,BlankTegn,IF(BH$2=0,SUM(Materialedata[[#This Row],[A1-A3/m²]:[A4/m²]]),
BG22+IF(BH$2=Input_Tidshorisont,SUM(Materialedata[[#This Row],[C3/m²]:[C4/m²]]),IF(MOD(BH$2,Materialedata[[#This Row],[Levetid]])=0,SUM(Materialedata[[#This Row],[A1-A3/m²]:[C4/m²]]),0))
))</f>
        <v>1.6533945945945947</v>
      </c>
      <c r="BI22" s="141">
        <f>IF(BI$2&gt;Input_Tidshorisont,BlankTegn,IF(BI$2=0,SUM(Materialedata[[#This Row],[A1-A3/m²]:[A4/m²]]),
BH22+IF(BI$2=Input_Tidshorisont,SUM(Materialedata[[#This Row],[C3/m²]:[C4/m²]]),IF(MOD(BI$2,Materialedata[[#This Row],[Levetid]])=0,SUM(Materialedata[[#This Row],[A1-A3/m²]:[C4/m²]]),0))
))</f>
        <v>1.6533945945945947</v>
      </c>
      <c r="BJ22" s="141">
        <f>IF(BJ$2&gt;Input_Tidshorisont,BlankTegn,IF(BJ$2=0,SUM(Materialedata[[#This Row],[A1-A3/m²]:[A4/m²]]),
BI22+IF(BJ$2=Input_Tidshorisont,SUM(Materialedata[[#This Row],[C3/m²]:[C4/m²]]),IF(MOD(BJ$2,Materialedata[[#This Row],[Levetid]])=0,SUM(Materialedata[[#This Row],[A1-A3/m²]:[C4/m²]]),0))
))</f>
        <v>1.6533945945945947</v>
      </c>
      <c r="BK22" s="141">
        <f>IF(BK$2&gt;Input_Tidshorisont,BlankTegn,IF(BK$2=0,SUM(Materialedata[[#This Row],[A1-A3/m²]:[A4/m²]]),
BJ22+IF(BK$2=Input_Tidshorisont,SUM(Materialedata[[#This Row],[C3/m²]:[C4/m²]]),IF(MOD(BK$2,Materialedata[[#This Row],[Levetid]])=0,SUM(Materialedata[[#This Row],[A1-A3/m²]:[C4/m²]]),0))
))</f>
        <v>1.6533945945945947</v>
      </c>
      <c r="BL22" s="141">
        <f>IF(BL$2&gt;Input_Tidshorisont,BlankTegn,IF(BL$2=0,SUM(Materialedata[[#This Row],[A1-A3/m²]:[A4/m²]]),
BK22+IF(BL$2=Input_Tidshorisont,SUM(Materialedata[[#This Row],[C3/m²]:[C4/m²]]),IF(MOD(BL$2,Materialedata[[#This Row],[Levetid]])=0,SUM(Materialedata[[#This Row],[A1-A3/m²]:[C4/m²]]),0))
))</f>
        <v>1.6533945945945947</v>
      </c>
      <c r="BM22" s="141">
        <f>IF(BM$2&gt;Input_Tidshorisont,BlankTegn,IF(BM$2=0,SUM(Materialedata[[#This Row],[A1-A3/m²]:[A4/m²]]),
BL22+IF(BM$2=Input_Tidshorisont,SUM(Materialedata[[#This Row],[C3/m²]:[C4/m²]]),IF(MOD(BM$2,Materialedata[[#This Row],[Levetid]])=0,SUM(Materialedata[[#This Row],[A1-A3/m²]:[C4/m²]]),0))
))</f>
        <v>1.6533945945945947</v>
      </c>
      <c r="BN22" s="141">
        <f>IF(BN$2&gt;Input_Tidshorisont,BlankTegn,IF(BN$2=0,SUM(Materialedata[[#This Row],[A1-A3/m²]:[A4/m²]]),
BM22+IF(BN$2=Input_Tidshorisont,SUM(Materialedata[[#This Row],[C3/m²]:[C4/m²]]),IF(MOD(BN$2,Materialedata[[#This Row],[Levetid]])=0,SUM(Materialedata[[#This Row],[A1-A3/m²]:[C4/m²]]),0))
))</f>
        <v>1.6533945945945947</v>
      </c>
      <c r="BO22" s="141">
        <f>IF(BO$2&gt;Input_Tidshorisont,BlankTegn,IF(BO$2=0,SUM(Materialedata[[#This Row],[A1-A3/m²]:[A4/m²]]),
BN22+IF(BO$2=Input_Tidshorisont,SUM(Materialedata[[#This Row],[C3/m²]:[C4/m²]]),IF(MOD(BO$2,Materialedata[[#This Row],[Levetid]])=0,SUM(Materialedata[[#This Row],[A1-A3/m²]:[C4/m²]]),0))
))</f>
        <v>1.6533945945945947</v>
      </c>
      <c r="BP22" s="141">
        <f>IF(BP$2&gt;Input_Tidshorisont,BlankTegn,IF(BP$2=0,SUM(Materialedata[[#This Row],[A1-A3/m²]:[A4/m²]]),
BO22+IF(BP$2=Input_Tidshorisont,SUM(Materialedata[[#This Row],[C3/m²]:[C4/m²]]),IF(MOD(BP$2,Materialedata[[#This Row],[Levetid]])=0,SUM(Materialedata[[#This Row],[A1-A3/m²]:[C4/m²]]),0))
))</f>
        <v>1.6533945945945947</v>
      </c>
      <c r="BQ22" s="141">
        <f>IF(BQ$2&gt;Input_Tidshorisont,BlankTegn,IF(BQ$2=0,SUM(Materialedata[[#This Row],[A1-A3/m²]:[A4/m²]]),
BP22+IF(BQ$2=Input_Tidshorisont,SUM(Materialedata[[#This Row],[C3/m²]:[C4/m²]]),IF(MOD(BQ$2,Materialedata[[#This Row],[Levetid]])=0,SUM(Materialedata[[#This Row],[A1-A3/m²]:[C4/m²]]),0))
))</f>
        <v>1.6533945945945947</v>
      </c>
      <c r="BR22" s="141">
        <f>IF(BR$2&gt;Input_Tidshorisont,BlankTegn,IF(BR$2=0,SUM(Materialedata[[#This Row],[A1-A3/m²]:[A4/m²]]),
BQ22+IF(BR$2=Input_Tidshorisont,SUM(Materialedata[[#This Row],[C3/m²]:[C4/m²]]),IF(MOD(BR$2,Materialedata[[#This Row],[Levetid]])=0,SUM(Materialedata[[#This Row],[A1-A3/m²]:[C4/m²]]),0))
))</f>
        <v>1.6533945945945947</v>
      </c>
      <c r="BS22" s="141">
        <f>IF(BS$2&gt;Input_Tidshorisont,BlankTegn,IF(BS$2=0,SUM(Materialedata[[#This Row],[A1-A3/m²]:[A4/m²]]),
BR22+IF(BS$2=Input_Tidshorisont,SUM(Materialedata[[#This Row],[C3/m²]:[C4/m²]]),IF(MOD(BS$2,Materialedata[[#This Row],[Levetid]])=0,SUM(Materialedata[[#This Row],[A1-A3/m²]:[C4/m²]]),0))
))</f>
        <v>1.6533945945945947</v>
      </c>
      <c r="BT22" s="141">
        <f>IF(BT$2&gt;Input_Tidshorisont,BlankTegn,IF(BT$2=0,SUM(Materialedata[[#This Row],[A1-A3/m²]:[A4/m²]]),
BS22+IF(BT$2=Input_Tidshorisont,SUM(Materialedata[[#This Row],[C3/m²]:[C4/m²]]),IF(MOD(BT$2,Materialedata[[#This Row],[Levetid]])=0,SUM(Materialedata[[#This Row],[A1-A3/m²]:[C4/m²]]),0))
))</f>
        <v>1.6533945945945947</v>
      </c>
      <c r="BU22" s="141">
        <f>IF(BU$2&gt;Input_Tidshorisont,BlankTegn,IF(BU$2=0,SUM(Materialedata[[#This Row],[A1-A3/m²]:[A4/m²]]),
BT22+IF(BU$2=Input_Tidshorisont,SUM(Materialedata[[#This Row],[C3/m²]:[C4/m²]]),IF(MOD(BU$2,Materialedata[[#This Row],[Levetid]])=0,SUM(Materialedata[[#This Row],[A1-A3/m²]:[C4/m²]]),0))
))</f>
        <v>1.6533945945945947</v>
      </c>
      <c r="BV22" s="141">
        <f>IF(BV$2&gt;Input_Tidshorisont,BlankTegn,IF(BV$2=0,SUM(Materialedata[[#This Row],[A1-A3/m²]:[A4/m²]]),
BU22+IF(BV$2=Input_Tidshorisont,SUM(Materialedata[[#This Row],[C3/m²]:[C4/m²]]),IF(MOD(BV$2,Materialedata[[#This Row],[Levetid]])=0,SUM(Materialedata[[#This Row],[A1-A3/m²]:[C4/m²]]),0))
))</f>
        <v>1.6533945945945947</v>
      </c>
      <c r="BW22" s="141">
        <f>IF(BW$2&gt;Input_Tidshorisont,BlankTegn,IF(BW$2=0,SUM(Materialedata[[#This Row],[A1-A3/m²]:[A4/m²]]),
BV22+IF(BW$2=Input_Tidshorisont,SUM(Materialedata[[#This Row],[C3/m²]:[C4/m²]]),IF(MOD(BW$2,Materialedata[[#This Row],[Levetid]])=0,SUM(Materialedata[[#This Row],[A1-A3/m²]:[C4/m²]]),0))
))</f>
        <v>1.6533945945945947</v>
      </c>
      <c r="BX22" s="141">
        <f>IF(BX$2&gt;Input_Tidshorisont,BlankTegn,IF(BX$2=0,SUM(Materialedata[[#This Row],[A1-A3/m²]:[A4/m²]]),
BW22+IF(BX$2=Input_Tidshorisont,SUM(Materialedata[[#This Row],[C3/m²]:[C4/m²]]),IF(MOD(BX$2,Materialedata[[#This Row],[Levetid]])=0,SUM(Materialedata[[#This Row],[A1-A3/m²]:[C4/m²]]),0))
))</f>
        <v>1.6533945945945947</v>
      </c>
      <c r="BY22" s="141">
        <f>IF(BY$2&gt;Input_Tidshorisont,BlankTegn,IF(BY$2=0,SUM(Materialedata[[#This Row],[A1-A3/m²]:[A4/m²]]),
BX22+IF(BY$2=Input_Tidshorisont,SUM(Materialedata[[#This Row],[C3/m²]:[C4/m²]]),IF(MOD(BY$2,Materialedata[[#This Row],[Levetid]])=0,SUM(Materialedata[[#This Row],[A1-A3/m²]:[C4/m²]]),0))
))</f>
        <v>1.6533945945945947</v>
      </c>
      <c r="BZ22" s="141">
        <f>IF(BZ$2&gt;Input_Tidshorisont,BlankTegn,IF(BZ$2=0,SUM(Materialedata[[#This Row],[A1-A3/m²]:[A4/m²]]),
BY22+IF(BZ$2=Input_Tidshorisont,SUM(Materialedata[[#This Row],[C3/m²]:[C4/m²]]),IF(MOD(BZ$2,Materialedata[[#This Row],[Levetid]])=0,SUM(Materialedata[[#This Row],[A1-A3/m²]:[C4/m²]]),0))
))</f>
        <v>1.6533945945945947</v>
      </c>
      <c r="CA22" s="141">
        <f>IF(CA$2&gt;Input_Tidshorisont,BlankTegn,IF(CA$2=0,SUM(Materialedata[[#This Row],[A1-A3/m²]:[A4/m²]]),
BZ22+IF(CA$2=Input_Tidshorisont,SUM(Materialedata[[#This Row],[C3/m²]:[C4/m²]]),IF(MOD(CA$2,Materialedata[[#This Row],[Levetid]])=0,SUM(Materialedata[[#This Row],[A1-A3/m²]:[C4/m²]]),0))
))</f>
        <v>1.6533945945945947</v>
      </c>
      <c r="CB22" s="141">
        <f>IF(CB$2&gt;Input_Tidshorisont,BlankTegn,IF(CB$2=0,SUM(Materialedata[[#This Row],[A1-A3/m²]:[A4/m²]]),
CA22+IF(CB$2=Input_Tidshorisont,SUM(Materialedata[[#This Row],[C3/m²]:[C4/m²]]),IF(MOD(CB$2,Materialedata[[#This Row],[Levetid]])=0,SUM(Materialedata[[#This Row],[A1-A3/m²]:[C4/m²]]),0))
))</f>
        <v>1.6533945945945947</v>
      </c>
      <c r="CC22" s="141">
        <f>IF(CC$2&gt;Input_Tidshorisont,BlankTegn,IF(CC$2=0,SUM(Materialedata[[#This Row],[A1-A3/m²]:[A4/m²]]),
CB22+IF(CC$2=Input_Tidshorisont,SUM(Materialedata[[#This Row],[C3/m²]:[C4/m²]]),IF(MOD(CC$2,Materialedata[[#This Row],[Levetid]])=0,SUM(Materialedata[[#This Row],[A1-A3/m²]:[C4/m²]]),0))
))</f>
        <v>1.6533945945945947</v>
      </c>
      <c r="CD22" s="141">
        <f>IF(CD$2&gt;Input_Tidshorisont,BlankTegn,IF(CD$2=0,SUM(Materialedata[[#This Row],[A1-A3/m²]:[A4/m²]]),
CC22+IF(CD$2=Input_Tidshorisont,SUM(Materialedata[[#This Row],[C3/m²]:[C4/m²]]),IF(MOD(CD$2,Materialedata[[#This Row],[Levetid]])=0,SUM(Materialedata[[#This Row],[A1-A3/m²]:[C4/m²]]),0))
))</f>
        <v>1.6533945945945947</v>
      </c>
      <c r="CE22" s="141">
        <f>IF(CE$2&gt;Input_Tidshorisont,BlankTegn,IF(CE$2=0,SUM(Materialedata[[#This Row],[A1-A3/m²]:[A4/m²]]),
CD22+IF(CE$2=Input_Tidshorisont,SUM(Materialedata[[#This Row],[C3/m²]:[C4/m²]]),IF(MOD(CE$2,Materialedata[[#This Row],[Levetid]])=0,SUM(Materialedata[[#This Row],[A1-A3/m²]:[C4/m²]]),0))
))</f>
        <v>1.6533945945945947</v>
      </c>
      <c r="CF22" s="141">
        <f>IF(CF$2&gt;Input_Tidshorisont,BlankTegn,IF(CF$2=0,SUM(Materialedata[[#This Row],[A1-A3/m²]:[A4/m²]]),
CE22+IF(CF$2=Input_Tidshorisont,SUM(Materialedata[[#This Row],[C3/m²]:[C4/m²]]),IF(MOD(CF$2,Materialedata[[#This Row],[Levetid]])=0,SUM(Materialedata[[#This Row],[A1-A3/m²]:[C4/m²]]),0))
))</f>
        <v>1.6533945945945947</v>
      </c>
      <c r="CG22" s="141">
        <f>IF(CG$2&gt;Input_Tidshorisont,BlankTegn,IF(CG$2=0,SUM(Materialedata[[#This Row],[A1-A3/m²]:[A4/m²]]),
CF22+IF(CG$2=Input_Tidshorisont,SUM(Materialedata[[#This Row],[C3/m²]:[C4/m²]]),IF(MOD(CG$2,Materialedata[[#This Row],[Levetid]])=0,SUM(Materialedata[[#This Row],[A1-A3/m²]:[C4/m²]]),0))
))</f>
        <v>1.6533945945945947</v>
      </c>
      <c r="CH22" s="141">
        <f>IF(CH$2&gt;Input_Tidshorisont,BlankTegn,IF(CH$2=0,SUM(Materialedata[[#This Row],[A1-A3/m²]:[A4/m²]]),
CG22+IF(CH$2=Input_Tidshorisont,SUM(Materialedata[[#This Row],[C3/m²]:[C4/m²]]),IF(MOD(CH$2,Materialedata[[#This Row],[Levetid]])=0,SUM(Materialedata[[#This Row],[A1-A3/m²]:[C4/m²]]),0))
))</f>
        <v>1.7020432432432433</v>
      </c>
      <c r="CI22" s="141" t="str">
        <f>IF(CI$2&gt;Input_Tidshorisont,BlankTegn,IF(CI$2=0,SUM(Materialedata[[#This Row],[A1-A3/m²]:[A4/m²]]),
CH22+IF(CI$2=Input_Tidshorisont,SUM(Materialedata[[#This Row],[C3/m²]:[C4/m²]]),IF(MOD(CI$2,Materialedata[[#This Row],[Levetid]])=0,SUM(Materialedata[[#This Row],[A1-A3/m²]:[C4/m²]]),0))
))</f>
        <v>.</v>
      </c>
      <c r="CJ22" s="141" t="str">
        <f>IF(CJ$2&gt;Input_Tidshorisont,BlankTegn,IF(CJ$2=0,SUM(Materialedata[[#This Row],[A1-A3/m²]:[A4/m²]]),
CI22+IF(CJ$2=Input_Tidshorisont,SUM(Materialedata[[#This Row],[C3/m²]:[C4/m²]]),IF(MOD(CJ$2,Materialedata[[#This Row],[Levetid]])=0,SUM(Materialedata[[#This Row],[A1-A3/m²]:[C4/m²]]),0))
))</f>
        <v>.</v>
      </c>
      <c r="CK22" s="141" t="str">
        <f>IF(CK$2&gt;Input_Tidshorisont,BlankTegn,IF(CK$2=0,SUM(Materialedata[[#This Row],[A1-A3/m²]:[A4/m²]]),
CJ22+IF(CK$2=Input_Tidshorisont,SUM(Materialedata[[#This Row],[C3/m²]:[C4/m²]]),IF(MOD(CK$2,Materialedata[[#This Row],[Levetid]])=0,SUM(Materialedata[[#This Row],[A1-A3/m²]:[C4/m²]]),0))
))</f>
        <v>.</v>
      </c>
      <c r="CL22" s="141" t="str">
        <f>IF(CL$2&gt;Input_Tidshorisont,BlankTegn,IF(CL$2=0,SUM(Materialedata[[#This Row],[A1-A3/m²]:[A4/m²]]),
CK22+IF(CL$2=Input_Tidshorisont,SUM(Materialedata[[#This Row],[C3/m²]:[C4/m²]]),IF(MOD(CL$2,Materialedata[[#This Row],[Levetid]])=0,SUM(Materialedata[[#This Row],[A1-A3/m²]:[C4/m²]]),0))
))</f>
        <v>.</v>
      </c>
      <c r="CM22" s="141" t="str">
        <f>IF(CM$2&gt;Input_Tidshorisont,BlankTegn,IF(CM$2=0,SUM(Materialedata[[#This Row],[A1-A3/m²]:[A4/m²]]),
CL22+IF(CM$2=Input_Tidshorisont,SUM(Materialedata[[#This Row],[C3/m²]:[C4/m²]]),IF(MOD(CM$2,Materialedata[[#This Row],[Levetid]])=0,SUM(Materialedata[[#This Row],[A1-A3/m²]:[C4/m²]]),0))
))</f>
        <v>.</v>
      </c>
      <c r="CN22" s="141" t="str">
        <f>IF(CN$2&gt;Input_Tidshorisont,BlankTegn,IF(CN$2=0,SUM(Materialedata[[#This Row],[A1-A3/m²]:[A4/m²]]),
CM22+IF(CN$2=Input_Tidshorisont,SUM(Materialedata[[#This Row],[C3/m²]:[C4/m²]]),IF(MOD(CN$2,Materialedata[[#This Row],[Levetid]])=0,SUM(Materialedata[[#This Row],[A1-A3/m²]:[C4/m²]]),0))
))</f>
        <v>.</v>
      </c>
      <c r="CO22" s="141" t="str">
        <f>IF(CO$2&gt;Input_Tidshorisont,BlankTegn,IF(CO$2=0,SUM(Materialedata[[#This Row],[A1-A3/m²]:[A4/m²]]),
CN22+IF(CO$2=Input_Tidshorisont,SUM(Materialedata[[#This Row],[C3/m²]:[C4/m²]]),IF(MOD(CO$2,Materialedata[[#This Row],[Levetid]])=0,SUM(Materialedata[[#This Row],[A1-A3/m²]:[C4/m²]]),0))
))</f>
        <v>.</v>
      </c>
      <c r="CP22" s="141" t="str">
        <f>IF(CP$2&gt;Input_Tidshorisont,BlankTegn,IF(CP$2=0,SUM(Materialedata[[#This Row],[A1-A3/m²]:[A4/m²]]),
CO22+IF(CP$2=Input_Tidshorisont,SUM(Materialedata[[#This Row],[C3/m²]:[C4/m²]]),IF(MOD(CP$2,Materialedata[[#This Row],[Levetid]])=0,SUM(Materialedata[[#This Row],[A1-A3/m²]:[C4/m²]]),0))
))</f>
        <v>.</v>
      </c>
      <c r="CQ22" s="141" t="str">
        <f>IF(CQ$2&gt;Input_Tidshorisont,BlankTegn,IF(CQ$2=0,SUM(Materialedata[[#This Row],[A1-A3/m²]:[A4/m²]]),
CP22+IF(CQ$2=Input_Tidshorisont,SUM(Materialedata[[#This Row],[C3/m²]:[C4/m²]]),IF(MOD(CQ$2,Materialedata[[#This Row],[Levetid]])=0,SUM(Materialedata[[#This Row],[A1-A3/m²]:[C4/m²]]),0))
))</f>
        <v>.</v>
      </c>
      <c r="CR22" s="141" t="str">
        <f>IF(CR$2&gt;Input_Tidshorisont,BlankTegn,IF(CR$2=0,SUM(Materialedata[[#This Row],[A1-A3/m²]:[A4/m²]]),
CQ22+IF(CR$2=Input_Tidshorisont,SUM(Materialedata[[#This Row],[C3/m²]:[C4/m²]]),IF(MOD(CR$2,Materialedata[[#This Row],[Levetid]])=0,SUM(Materialedata[[#This Row],[A1-A3/m²]:[C4/m²]]),0))
))</f>
        <v>.</v>
      </c>
      <c r="CS22" s="141" t="str">
        <f>IF(CS$2&gt;Input_Tidshorisont,BlankTegn,IF(CS$2=0,SUM(Materialedata[[#This Row],[A1-A3/m²]:[A4/m²]]),
CR22+IF(CS$2=Input_Tidshorisont,SUM(Materialedata[[#This Row],[C3/m²]:[C4/m²]]),IF(MOD(CS$2,Materialedata[[#This Row],[Levetid]])=0,SUM(Materialedata[[#This Row],[A1-A3/m²]:[C4/m²]]),0))
))</f>
        <v>.</v>
      </c>
      <c r="CT22" s="141" t="str">
        <f>IF(CT$2&gt;Input_Tidshorisont,BlankTegn,IF(CT$2=0,SUM(Materialedata[[#This Row],[A1-A3/m²]:[A4/m²]]),
CS22+IF(CT$2=Input_Tidshorisont,SUM(Materialedata[[#This Row],[C3/m²]:[C4/m²]]),IF(MOD(CT$2,Materialedata[[#This Row],[Levetid]])=0,SUM(Materialedata[[#This Row],[A1-A3/m²]:[C4/m²]]),0))
))</f>
        <v>.</v>
      </c>
      <c r="CU22" s="141" t="str">
        <f>IF(CU$2&gt;Input_Tidshorisont,BlankTegn,IF(CU$2=0,SUM(Materialedata[[#This Row],[A1-A3/m²]:[A4/m²]]),
CT22+IF(CU$2=Input_Tidshorisont,SUM(Materialedata[[#This Row],[C3/m²]:[C4/m²]]),IF(MOD(CU$2,Materialedata[[#This Row],[Levetid]])=0,SUM(Materialedata[[#This Row],[A1-A3/m²]:[C4/m²]]),0))
))</f>
        <v>.</v>
      </c>
      <c r="CV22" s="141" t="str">
        <f>IF(CV$2&gt;Input_Tidshorisont,BlankTegn,IF(CV$2=0,SUM(Materialedata[[#This Row],[A1-A3/m²]:[A4/m²]]),
CU22+IF(CV$2=Input_Tidshorisont,SUM(Materialedata[[#This Row],[C3/m²]:[C4/m²]]),IF(MOD(CV$2,Materialedata[[#This Row],[Levetid]])=0,SUM(Materialedata[[#This Row],[A1-A3/m²]:[C4/m²]]),0))
))</f>
        <v>.</v>
      </c>
      <c r="CW22" s="141" t="str">
        <f>IF(CW$2&gt;Input_Tidshorisont,BlankTegn,IF(CW$2=0,SUM(Materialedata[[#This Row],[A1-A3/m²]:[A4/m²]]),
CV22+IF(CW$2=Input_Tidshorisont,SUM(Materialedata[[#This Row],[C3/m²]:[C4/m²]]),IF(MOD(CW$2,Materialedata[[#This Row],[Levetid]])=0,SUM(Materialedata[[#This Row],[A1-A3/m²]:[C4/m²]]),0))
))</f>
        <v>.</v>
      </c>
      <c r="CX22" s="141" t="str">
        <f>IF(CX$2&gt;Input_Tidshorisont,BlankTegn,IF(CX$2=0,SUM(Materialedata[[#This Row],[A1-A3/m²]:[A4/m²]]),
CW22+IF(CX$2=Input_Tidshorisont,SUM(Materialedata[[#This Row],[C3/m²]:[C4/m²]]),IF(MOD(CX$2,Materialedata[[#This Row],[Levetid]])=0,SUM(Materialedata[[#This Row],[A1-A3/m²]:[C4/m²]]),0))
))</f>
        <v>.</v>
      </c>
      <c r="CY22" s="141" t="str">
        <f>IF(CY$2&gt;Input_Tidshorisont,BlankTegn,IF(CY$2=0,SUM(Materialedata[[#This Row],[A1-A3/m²]:[A4/m²]]),
CX22+IF(CY$2=Input_Tidshorisont,SUM(Materialedata[[#This Row],[C3/m²]:[C4/m²]]),IF(MOD(CY$2,Materialedata[[#This Row],[Levetid]])=0,SUM(Materialedata[[#This Row],[A1-A3/m²]:[C4/m²]]),0))
))</f>
        <v>.</v>
      </c>
      <c r="CZ22" s="141" t="str">
        <f>IF(CZ$2&gt;Input_Tidshorisont,BlankTegn,IF(CZ$2=0,SUM(Materialedata[[#This Row],[A1-A3/m²]:[A4/m²]]),
CY22+IF(CZ$2=Input_Tidshorisont,SUM(Materialedata[[#This Row],[C3/m²]:[C4/m²]]),IF(MOD(CZ$2,Materialedata[[#This Row],[Levetid]])=0,SUM(Materialedata[[#This Row],[A1-A3/m²]:[C4/m²]]),0))
))</f>
        <v>.</v>
      </c>
      <c r="DA22" s="141" t="str">
        <f>IF(DA$2&gt;Input_Tidshorisont,BlankTegn,IF(DA$2=0,SUM(Materialedata[[#This Row],[A1-A3/m²]:[A4/m²]]),
CZ22+IF(DA$2=Input_Tidshorisont,SUM(Materialedata[[#This Row],[C3/m²]:[C4/m²]]),IF(MOD(DA$2,Materialedata[[#This Row],[Levetid]])=0,SUM(Materialedata[[#This Row],[A1-A3/m²]:[C4/m²]]),0))
))</f>
        <v>.</v>
      </c>
      <c r="DB22" s="141" t="str">
        <f>IF(DB$2&gt;Input_Tidshorisont,BlankTegn,IF(DB$2=0,SUM(Materialedata[[#This Row],[A1-A3/m²]:[A4/m²]]),
DA22+IF(DB$2=Input_Tidshorisont,SUM(Materialedata[[#This Row],[C3/m²]:[C4/m²]]),IF(MOD(DB$2,Materialedata[[#This Row],[Levetid]])=0,SUM(Materialedata[[#This Row],[A1-A3/m²]:[C4/m²]]),0))
))</f>
        <v>.</v>
      </c>
      <c r="DC22" s="141" t="str">
        <f>IF(DC$2&gt;Input_Tidshorisont,BlankTegn,IF(DC$2=0,SUM(Materialedata[[#This Row],[A1-A3/m²]:[A4/m²]]),
DB22+IF(DC$2=Input_Tidshorisont,SUM(Materialedata[[#This Row],[C3/m²]:[C4/m²]]),IF(MOD(DC$2,Materialedata[[#This Row],[Levetid]])=0,SUM(Materialedata[[#This Row],[A1-A3/m²]:[C4/m²]]),0))
))</f>
        <v>.</v>
      </c>
      <c r="DD22" s="141" t="str">
        <f>IF(DD$2&gt;Input_Tidshorisont,BlankTegn,IF(DD$2=0,SUM(Materialedata[[#This Row],[A1-A3/m²]:[A4/m²]]),
DC22+IF(DD$2=Input_Tidshorisont,SUM(Materialedata[[#This Row],[C3/m²]:[C4/m²]]),IF(MOD(DD$2,Materialedata[[#This Row],[Levetid]])=0,SUM(Materialedata[[#This Row],[A1-A3/m²]:[C4/m²]]),0))
))</f>
        <v>.</v>
      </c>
      <c r="DE22" s="141" t="str">
        <f>IF(DE$2&gt;Input_Tidshorisont,BlankTegn,IF(DE$2=0,SUM(Materialedata[[#This Row],[A1-A3/m²]:[A4/m²]]),
DD22+IF(DE$2=Input_Tidshorisont,SUM(Materialedata[[#This Row],[C3/m²]:[C4/m²]]),IF(MOD(DE$2,Materialedata[[#This Row],[Levetid]])=0,SUM(Materialedata[[#This Row],[A1-A3/m²]:[C4/m²]]),0))
))</f>
        <v>.</v>
      </c>
      <c r="DF22" s="141" t="str">
        <f>IF(DF$2&gt;Input_Tidshorisont,BlankTegn,IF(DF$2=0,SUM(Materialedata[[#This Row],[A1-A3/m²]:[A4/m²]]),
DE22+IF(DF$2=Input_Tidshorisont,SUM(Materialedata[[#This Row],[C3/m²]:[C4/m²]]),IF(MOD(DF$2,Materialedata[[#This Row],[Levetid]])=0,SUM(Materialedata[[#This Row],[A1-A3/m²]:[C4/m²]]),0))
))</f>
        <v>.</v>
      </c>
      <c r="DG22" s="141" t="str">
        <f>IF(DG$2&gt;Input_Tidshorisont,BlankTegn,IF(DG$2=0,SUM(Materialedata[[#This Row],[A1-A3/m²]:[A4/m²]]),
DF22+IF(DG$2=Input_Tidshorisont,SUM(Materialedata[[#This Row],[C3/m²]:[C4/m²]]),IF(MOD(DG$2,Materialedata[[#This Row],[Levetid]])=0,SUM(Materialedata[[#This Row],[A1-A3/m²]:[C4/m²]]),0))
))</f>
        <v>.</v>
      </c>
      <c r="DH22" s="141" t="str">
        <f>IF(DH$2&gt;Input_Tidshorisont,BlankTegn,IF(DH$2=0,SUM(Materialedata[[#This Row],[A1-A3/m²]:[A4/m²]]),
DG22+IF(DH$2=Input_Tidshorisont,SUM(Materialedata[[#This Row],[C3/m²]:[C4/m²]]),IF(MOD(DH$2,Materialedata[[#This Row],[Levetid]])=0,SUM(Materialedata[[#This Row],[A1-A3/m²]:[C4/m²]]),0))
))</f>
        <v>.</v>
      </c>
      <c r="DI22" s="141" t="str">
        <f>IF(DI$2&gt;Input_Tidshorisont,BlankTegn,IF(DI$2=0,SUM(Materialedata[[#This Row],[A1-A3/m²]:[A4/m²]]),
DH22+IF(DI$2=Input_Tidshorisont,SUM(Materialedata[[#This Row],[C3/m²]:[C4/m²]]),IF(MOD(DI$2,Materialedata[[#This Row],[Levetid]])=0,SUM(Materialedata[[#This Row],[A1-A3/m²]:[C4/m²]]),0))
))</f>
        <v>.</v>
      </c>
      <c r="DJ22" s="141" t="str">
        <f>IF(DJ$2&gt;Input_Tidshorisont,BlankTegn,IF(DJ$2=0,SUM(Materialedata[[#This Row],[A1-A3/m²]:[A4/m²]]),
DI22+IF(DJ$2=Input_Tidshorisont,SUM(Materialedata[[#This Row],[C3/m²]:[C4/m²]]),IF(MOD(DJ$2,Materialedata[[#This Row],[Levetid]])=0,SUM(Materialedata[[#This Row],[A1-A3/m²]:[C4/m²]]),0))
))</f>
        <v>.</v>
      </c>
      <c r="DK22" s="141" t="str">
        <f>IF(DK$2&gt;Input_Tidshorisont,BlankTegn,IF(DK$2=0,SUM(Materialedata[[#This Row],[A1-A3/m²]:[A4/m²]]),
DJ22+IF(DK$2=Input_Tidshorisont,SUM(Materialedata[[#This Row],[C3/m²]:[C4/m²]]),IF(MOD(DK$2,Materialedata[[#This Row],[Levetid]])=0,SUM(Materialedata[[#This Row],[A1-A3/m²]:[C4/m²]]),0))
))</f>
        <v>.</v>
      </c>
      <c r="DL22" s="141" t="str">
        <f>IF(DL$2&gt;Input_Tidshorisont,BlankTegn,IF(DL$2=0,SUM(Materialedata[[#This Row],[A1-A3/m²]:[A4/m²]]),
DK22+IF(DL$2=Input_Tidshorisont,SUM(Materialedata[[#This Row],[C3/m²]:[C4/m²]]),IF(MOD(DL$2,Materialedata[[#This Row],[Levetid]])=0,SUM(Materialedata[[#This Row],[A1-A3/m²]:[C4/m²]]),0))
))</f>
        <v>.</v>
      </c>
      <c r="DM22" s="19"/>
    </row>
    <row r="23" spans="1:117" ht="24">
      <c r="A23" s="182" t="s">
        <v>248</v>
      </c>
      <c r="B23" s="182" t="s">
        <v>159</v>
      </c>
      <c r="C23" s="148" t="s">
        <v>162</v>
      </c>
      <c r="D23" s="148" t="s">
        <v>301</v>
      </c>
      <c r="E23" s="180" t="s">
        <v>303</v>
      </c>
      <c r="F23" s="182" t="s">
        <v>300</v>
      </c>
      <c r="G23" s="182">
        <v>60</v>
      </c>
      <c r="H23" s="183">
        <v>35</v>
      </c>
      <c r="I23" s="184">
        <f>0.2*1*1</f>
        <v>0.2</v>
      </c>
      <c r="J23" s="184" t="s">
        <v>232</v>
      </c>
      <c r="K23" s="182">
        <v>-6.81</v>
      </c>
      <c r="L23" s="182" t="s">
        <v>97</v>
      </c>
      <c r="M23" s="185">
        <f>IF(ISBLANK(Materialedata[[#This Row],[A4-gruppe]]),BlankTegn,INDEX(Byggeproces[GWP],MATCH(Materialedata[[#This Row],[A4-gruppe]],Byggeproces[Gruppe/Undergruppe],0)))</f>
        <v>4.9500000000000002E-2</v>
      </c>
      <c r="N23" s="182">
        <v>7.08</v>
      </c>
      <c r="O23" s="182">
        <v>0.17</v>
      </c>
      <c r="P23" s="182">
        <v>2.57</v>
      </c>
      <c r="Q23" s="277">
        <f>Materialedata[[#This Row],[A1-A3/standardenhed]]/0.1*Materialedata[[#This Row],[Mængde/m²]]</f>
        <v>-13.62</v>
      </c>
      <c r="R23" s="278" cm="1">
        <f t="array" ref="R23">IFERROR(_xlfn.IFS(Materialedata[[#This Row],[Mængde-enhed]]="kg/m²",Materialedata[[#This Row],[A4/kg]]*Materialedata[[#This Row],[Mængde/m²]],Materialedata[[#This Row],[Mængde-enhed]]="m³/m²",Materialedata[[#This Row],[A4/kg]]*Materialedata[[#This Row],[Mængde/m²]]*Materialedata[[#This Row],[Densitet]]),"N/A")</f>
        <v>0.34650000000000003</v>
      </c>
      <c r="S23" s="277">
        <f>Materialedata[[#This Row],[C3/enhed]]*Materialedata[[#This Row],[Mængde/m²]]/0.1</f>
        <v>14.16</v>
      </c>
      <c r="T23" s="277">
        <f>Materialedata[[#This Row],[C4/enhed]]*Materialedata[[#This Row],[Mængde/m²]]/0.1</f>
        <v>0.34</v>
      </c>
      <c r="U23" s="277">
        <f>Materialedata[[#This Row],[D/enhed]]*Materialedata[[#This Row],[Mængde/m²]]/0.1</f>
        <v>5.14</v>
      </c>
      <c r="V23" s="150">
        <f>IFERROR(INDEX(Range_Materiale_Genbrug,MATCH(Materialedata[[#This Row],[Komponent]],Facadekomponenter,0)),BlankTegn)</f>
        <v>0</v>
      </c>
      <c r="W23" s="150">
        <f>IFERROR(1-Materialedata[[#This Row],[Genbrug]],BlankTegn)</f>
        <v>1</v>
      </c>
      <c r="X23" s="186">
        <f>IFERROR(Materialedata[[#This Row],[A1-A3/m²_nyt]]*Materialedata[[#This Row],[Nyt]],BlankTegn)</f>
        <v>-13.62</v>
      </c>
      <c r="Y23" s="186">
        <f>Materialedata[[#This Row],[A4/m²_nyt]]</f>
        <v>0.34650000000000003</v>
      </c>
      <c r="Z23" s="186">
        <f>IFERROR(Materialedata[[#This Row],[C3/m²_nyt]]*Materialedata[[#This Row],[Nyt]],BlankTegn)</f>
        <v>14.16</v>
      </c>
      <c r="AA23" s="186">
        <f>IFERROR(Materialedata[[#This Row],[C4/m²_nyt]]*Materialedata[[#This Row],[Nyt]],BlankTegn)</f>
        <v>0.34</v>
      </c>
      <c r="AB23" s="186">
        <f>IFERROR(Materialedata[[#This Row],[D/m²_nyt]]*Materialedata[[#This Row],[Nyt]],BlankTegn)</f>
        <v>5.14</v>
      </c>
      <c r="AC23" s="187">
        <f>AC32*3</f>
        <v>531.05999999999995</v>
      </c>
      <c r="AD23" s="188" t="s">
        <v>29</v>
      </c>
      <c r="AE23" s="182">
        <v>1</v>
      </c>
      <c r="AF23" s="189">
        <f>Materialedata[[#This Row],[Pris/enhed]]*Materialedata[[#This Row],[Omregning]]</f>
        <v>531.05999999999995</v>
      </c>
      <c r="AG23" s="190">
        <v>0.02</v>
      </c>
      <c r="AH23" s="191">
        <v>1</v>
      </c>
      <c r="AI23" s="162">
        <v>0</v>
      </c>
      <c r="AJ23" s="141">
        <f>IF(AJ$2&gt;Input_Tidshorisont,BlankTegn,IF(AJ$2=0,SUM(Materialedata[[#This Row],[A1-A3/m²]:[A4/m²]]),
AI23+IF(AJ$2=Input_Tidshorisont,SUM(Materialedata[[#This Row],[C3/m²]:[C4/m²]]),IF(MOD(AJ$2,Materialedata[[#This Row],[Levetid]])=0,SUM(Materialedata[[#This Row],[A1-A3/m²]:[C4/m²]]),0))
))</f>
        <v>-13.273499999999999</v>
      </c>
      <c r="AK23" s="141">
        <f>IF(AK$2&gt;Input_Tidshorisont,BlankTegn,IF(AK$2=0,SUM(Materialedata[[#This Row],[A1-A3/m²]:[A4/m²]]),
AJ23+IF(AK$2=Input_Tidshorisont,SUM(Materialedata[[#This Row],[C3/m²]:[C4/m²]]),IF(MOD(AK$2,Materialedata[[#This Row],[Levetid]])=0,SUM(Materialedata[[#This Row],[A1-A3/m²]:[C4/m²]]),0))
))</f>
        <v>-13.273499999999999</v>
      </c>
      <c r="AL23" s="141">
        <f>IF(AL$2&gt;Input_Tidshorisont,BlankTegn,IF(AL$2=0,SUM(Materialedata[[#This Row],[A1-A3/m²]:[A4/m²]]),
AK23+IF(AL$2=Input_Tidshorisont,SUM(Materialedata[[#This Row],[C3/m²]:[C4/m²]]),IF(MOD(AL$2,Materialedata[[#This Row],[Levetid]])=0,SUM(Materialedata[[#This Row],[A1-A3/m²]:[C4/m²]]),0))
))</f>
        <v>-13.273499999999999</v>
      </c>
      <c r="AM23" s="141">
        <f>IF(AM$2&gt;Input_Tidshorisont,BlankTegn,IF(AM$2=0,SUM(Materialedata[[#This Row],[A1-A3/m²]:[A4/m²]]),
AL23+IF(AM$2=Input_Tidshorisont,SUM(Materialedata[[#This Row],[C3/m²]:[C4/m²]]),IF(MOD(AM$2,Materialedata[[#This Row],[Levetid]])=0,SUM(Materialedata[[#This Row],[A1-A3/m²]:[C4/m²]]),0))
))</f>
        <v>-13.273499999999999</v>
      </c>
      <c r="AN23" s="141">
        <f>IF(AN$2&gt;Input_Tidshorisont,BlankTegn,IF(AN$2=0,SUM(Materialedata[[#This Row],[A1-A3/m²]:[A4/m²]]),
AM23+IF(AN$2=Input_Tidshorisont,SUM(Materialedata[[#This Row],[C3/m²]:[C4/m²]]),IF(MOD(AN$2,Materialedata[[#This Row],[Levetid]])=0,SUM(Materialedata[[#This Row],[A1-A3/m²]:[C4/m²]]),0))
))</f>
        <v>-13.273499999999999</v>
      </c>
      <c r="AO23" s="141">
        <f>IF(AO$2&gt;Input_Tidshorisont,BlankTegn,IF(AO$2=0,SUM(Materialedata[[#This Row],[A1-A3/m²]:[A4/m²]]),
AN23+IF(AO$2=Input_Tidshorisont,SUM(Materialedata[[#This Row],[C3/m²]:[C4/m²]]),IF(MOD(AO$2,Materialedata[[#This Row],[Levetid]])=0,SUM(Materialedata[[#This Row],[A1-A3/m²]:[C4/m²]]),0))
))</f>
        <v>-13.273499999999999</v>
      </c>
      <c r="AP23" s="141">
        <f>IF(AP$2&gt;Input_Tidshorisont,BlankTegn,IF(AP$2=0,SUM(Materialedata[[#This Row],[A1-A3/m²]:[A4/m²]]),
AO23+IF(AP$2=Input_Tidshorisont,SUM(Materialedata[[#This Row],[C3/m²]:[C4/m²]]),IF(MOD(AP$2,Materialedata[[#This Row],[Levetid]])=0,SUM(Materialedata[[#This Row],[A1-A3/m²]:[C4/m²]]),0))
))</f>
        <v>-13.273499999999999</v>
      </c>
      <c r="AQ23" s="141">
        <f>IF(AQ$2&gt;Input_Tidshorisont,BlankTegn,IF(AQ$2=0,SUM(Materialedata[[#This Row],[A1-A3/m²]:[A4/m²]]),
AP23+IF(AQ$2=Input_Tidshorisont,SUM(Materialedata[[#This Row],[C3/m²]:[C4/m²]]),IF(MOD(AQ$2,Materialedata[[#This Row],[Levetid]])=0,SUM(Materialedata[[#This Row],[A1-A3/m²]:[C4/m²]]),0))
))</f>
        <v>-13.273499999999999</v>
      </c>
      <c r="AR23" s="141">
        <f>IF(AR$2&gt;Input_Tidshorisont,BlankTegn,IF(AR$2=0,SUM(Materialedata[[#This Row],[A1-A3/m²]:[A4/m²]]),
AQ23+IF(AR$2=Input_Tidshorisont,SUM(Materialedata[[#This Row],[C3/m²]:[C4/m²]]),IF(MOD(AR$2,Materialedata[[#This Row],[Levetid]])=0,SUM(Materialedata[[#This Row],[A1-A3/m²]:[C4/m²]]),0))
))</f>
        <v>-13.273499999999999</v>
      </c>
      <c r="AS23" s="141">
        <f>IF(AS$2&gt;Input_Tidshorisont,BlankTegn,IF(AS$2=0,SUM(Materialedata[[#This Row],[A1-A3/m²]:[A4/m²]]),
AR23+IF(AS$2=Input_Tidshorisont,SUM(Materialedata[[#This Row],[C3/m²]:[C4/m²]]),IF(MOD(AS$2,Materialedata[[#This Row],[Levetid]])=0,SUM(Materialedata[[#This Row],[A1-A3/m²]:[C4/m²]]),0))
))</f>
        <v>-13.273499999999999</v>
      </c>
      <c r="AT23" s="141">
        <f>IF(AT$2&gt;Input_Tidshorisont,BlankTegn,IF(AT$2=0,SUM(Materialedata[[#This Row],[A1-A3/m²]:[A4/m²]]),
AS23+IF(AT$2=Input_Tidshorisont,SUM(Materialedata[[#This Row],[C3/m²]:[C4/m²]]),IF(MOD(AT$2,Materialedata[[#This Row],[Levetid]])=0,SUM(Materialedata[[#This Row],[A1-A3/m²]:[C4/m²]]),0))
))</f>
        <v>-13.273499999999999</v>
      </c>
      <c r="AU23" s="141">
        <f>IF(AU$2&gt;Input_Tidshorisont,BlankTegn,IF(AU$2=0,SUM(Materialedata[[#This Row],[A1-A3/m²]:[A4/m²]]),
AT23+IF(AU$2=Input_Tidshorisont,SUM(Materialedata[[#This Row],[C3/m²]:[C4/m²]]),IF(MOD(AU$2,Materialedata[[#This Row],[Levetid]])=0,SUM(Materialedata[[#This Row],[A1-A3/m²]:[C4/m²]]),0))
))</f>
        <v>-13.273499999999999</v>
      </c>
      <c r="AV23" s="141">
        <f>IF(AV$2&gt;Input_Tidshorisont,BlankTegn,IF(AV$2=0,SUM(Materialedata[[#This Row],[A1-A3/m²]:[A4/m²]]),
AU23+IF(AV$2=Input_Tidshorisont,SUM(Materialedata[[#This Row],[C3/m²]:[C4/m²]]),IF(MOD(AV$2,Materialedata[[#This Row],[Levetid]])=0,SUM(Materialedata[[#This Row],[A1-A3/m²]:[C4/m²]]),0))
))</f>
        <v>-13.273499999999999</v>
      </c>
      <c r="AW23" s="141">
        <f>IF(AW$2&gt;Input_Tidshorisont,BlankTegn,IF(AW$2=0,SUM(Materialedata[[#This Row],[A1-A3/m²]:[A4/m²]]),
AV23+IF(AW$2=Input_Tidshorisont,SUM(Materialedata[[#This Row],[C3/m²]:[C4/m²]]),IF(MOD(AW$2,Materialedata[[#This Row],[Levetid]])=0,SUM(Materialedata[[#This Row],[A1-A3/m²]:[C4/m²]]),0))
))</f>
        <v>-13.273499999999999</v>
      </c>
      <c r="AX23" s="141">
        <f>IF(AX$2&gt;Input_Tidshorisont,BlankTegn,IF(AX$2=0,SUM(Materialedata[[#This Row],[A1-A3/m²]:[A4/m²]]),
AW23+IF(AX$2=Input_Tidshorisont,SUM(Materialedata[[#This Row],[C3/m²]:[C4/m²]]),IF(MOD(AX$2,Materialedata[[#This Row],[Levetid]])=0,SUM(Materialedata[[#This Row],[A1-A3/m²]:[C4/m²]]),0))
))</f>
        <v>-13.273499999999999</v>
      </c>
      <c r="AY23" s="141">
        <f>IF(AY$2&gt;Input_Tidshorisont,BlankTegn,IF(AY$2=0,SUM(Materialedata[[#This Row],[A1-A3/m²]:[A4/m²]]),
AX23+IF(AY$2=Input_Tidshorisont,SUM(Materialedata[[#This Row],[C3/m²]:[C4/m²]]),IF(MOD(AY$2,Materialedata[[#This Row],[Levetid]])=0,SUM(Materialedata[[#This Row],[A1-A3/m²]:[C4/m²]]),0))
))</f>
        <v>-13.273499999999999</v>
      </c>
      <c r="AZ23" s="141">
        <f>IF(AZ$2&gt;Input_Tidshorisont,BlankTegn,IF(AZ$2=0,SUM(Materialedata[[#This Row],[A1-A3/m²]:[A4/m²]]),
AY23+IF(AZ$2=Input_Tidshorisont,SUM(Materialedata[[#This Row],[C3/m²]:[C4/m²]]),IF(MOD(AZ$2,Materialedata[[#This Row],[Levetid]])=0,SUM(Materialedata[[#This Row],[A1-A3/m²]:[C4/m²]]),0))
))</f>
        <v>-13.273499999999999</v>
      </c>
      <c r="BA23" s="141">
        <f>IF(BA$2&gt;Input_Tidshorisont,BlankTegn,IF(BA$2=0,SUM(Materialedata[[#This Row],[A1-A3/m²]:[A4/m²]]),
AZ23+IF(BA$2=Input_Tidshorisont,SUM(Materialedata[[#This Row],[C3/m²]:[C4/m²]]),IF(MOD(BA$2,Materialedata[[#This Row],[Levetid]])=0,SUM(Materialedata[[#This Row],[A1-A3/m²]:[C4/m²]]),0))
))</f>
        <v>-13.273499999999999</v>
      </c>
      <c r="BB23" s="141">
        <f>IF(BB$2&gt;Input_Tidshorisont,BlankTegn,IF(BB$2=0,SUM(Materialedata[[#This Row],[A1-A3/m²]:[A4/m²]]),
BA23+IF(BB$2=Input_Tidshorisont,SUM(Materialedata[[#This Row],[C3/m²]:[C4/m²]]),IF(MOD(BB$2,Materialedata[[#This Row],[Levetid]])=0,SUM(Materialedata[[#This Row],[A1-A3/m²]:[C4/m²]]),0))
))</f>
        <v>-13.273499999999999</v>
      </c>
      <c r="BC23" s="141">
        <f>IF(BC$2&gt;Input_Tidshorisont,BlankTegn,IF(BC$2=0,SUM(Materialedata[[#This Row],[A1-A3/m²]:[A4/m²]]),
BB23+IF(BC$2=Input_Tidshorisont,SUM(Materialedata[[#This Row],[C3/m²]:[C4/m²]]),IF(MOD(BC$2,Materialedata[[#This Row],[Levetid]])=0,SUM(Materialedata[[#This Row],[A1-A3/m²]:[C4/m²]]),0))
))</f>
        <v>-13.273499999999999</v>
      </c>
      <c r="BD23" s="141">
        <f>IF(BD$2&gt;Input_Tidshorisont,BlankTegn,IF(BD$2=0,SUM(Materialedata[[#This Row],[A1-A3/m²]:[A4/m²]]),
BC23+IF(BD$2=Input_Tidshorisont,SUM(Materialedata[[#This Row],[C3/m²]:[C4/m²]]),IF(MOD(BD$2,Materialedata[[#This Row],[Levetid]])=0,SUM(Materialedata[[#This Row],[A1-A3/m²]:[C4/m²]]),0))
))</f>
        <v>-13.273499999999999</v>
      </c>
      <c r="BE23" s="141">
        <f>IF(BE$2&gt;Input_Tidshorisont,BlankTegn,IF(BE$2=0,SUM(Materialedata[[#This Row],[A1-A3/m²]:[A4/m²]]),
BD23+IF(BE$2=Input_Tidshorisont,SUM(Materialedata[[#This Row],[C3/m²]:[C4/m²]]),IF(MOD(BE$2,Materialedata[[#This Row],[Levetid]])=0,SUM(Materialedata[[#This Row],[A1-A3/m²]:[C4/m²]]),0))
))</f>
        <v>-13.273499999999999</v>
      </c>
      <c r="BF23" s="141">
        <f>IF(BF$2&gt;Input_Tidshorisont,BlankTegn,IF(BF$2=0,SUM(Materialedata[[#This Row],[A1-A3/m²]:[A4/m²]]),
BE23+IF(BF$2=Input_Tidshorisont,SUM(Materialedata[[#This Row],[C3/m²]:[C4/m²]]),IF(MOD(BF$2,Materialedata[[#This Row],[Levetid]])=0,SUM(Materialedata[[#This Row],[A1-A3/m²]:[C4/m²]]),0))
))</f>
        <v>-13.273499999999999</v>
      </c>
      <c r="BG23" s="141">
        <f>IF(BG$2&gt;Input_Tidshorisont,BlankTegn,IF(BG$2=0,SUM(Materialedata[[#This Row],[A1-A3/m²]:[A4/m²]]),
BF23+IF(BG$2=Input_Tidshorisont,SUM(Materialedata[[#This Row],[C3/m²]:[C4/m²]]),IF(MOD(BG$2,Materialedata[[#This Row],[Levetid]])=0,SUM(Materialedata[[#This Row],[A1-A3/m²]:[C4/m²]]),0))
))</f>
        <v>-13.273499999999999</v>
      </c>
      <c r="BH23" s="141">
        <f>IF(BH$2&gt;Input_Tidshorisont,BlankTegn,IF(BH$2=0,SUM(Materialedata[[#This Row],[A1-A3/m²]:[A4/m²]]),
BG23+IF(BH$2=Input_Tidshorisont,SUM(Materialedata[[#This Row],[C3/m²]:[C4/m²]]),IF(MOD(BH$2,Materialedata[[#This Row],[Levetid]])=0,SUM(Materialedata[[#This Row],[A1-A3/m²]:[C4/m²]]),0))
))</f>
        <v>-13.273499999999999</v>
      </c>
      <c r="BI23" s="141">
        <f>IF(BI$2&gt;Input_Tidshorisont,BlankTegn,IF(BI$2=0,SUM(Materialedata[[#This Row],[A1-A3/m²]:[A4/m²]]),
BH23+IF(BI$2=Input_Tidshorisont,SUM(Materialedata[[#This Row],[C3/m²]:[C4/m²]]),IF(MOD(BI$2,Materialedata[[#This Row],[Levetid]])=0,SUM(Materialedata[[#This Row],[A1-A3/m²]:[C4/m²]]),0))
))</f>
        <v>-13.273499999999999</v>
      </c>
      <c r="BJ23" s="141">
        <f>IF(BJ$2&gt;Input_Tidshorisont,BlankTegn,IF(BJ$2=0,SUM(Materialedata[[#This Row],[A1-A3/m²]:[A4/m²]]),
BI23+IF(BJ$2=Input_Tidshorisont,SUM(Materialedata[[#This Row],[C3/m²]:[C4/m²]]),IF(MOD(BJ$2,Materialedata[[#This Row],[Levetid]])=0,SUM(Materialedata[[#This Row],[A1-A3/m²]:[C4/m²]]),0))
))</f>
        <v>-13.273499999999999</v>
      </c>
      <c r="BK23" s="141">
        <f>IF(BK$2&gt;Input_Tidshorisont,BlankTegn,IF(BK$2=0,SUM(Materialedata[[#This Row],[A1-A3/m²]:[A4/m²]]),
BJ23+IF(BK$2=Input_Tidshorisont,SUM(Materialedata[[#This Row],[C3/m²]:[C4/m²]]),IF(MOD(BK$2,Materialedata[[#This Row],[Levetid]])=0,SUM(Materialedata[[#This Row],[A1-A3/m²]:[C4/m²]]),0))
))</f>
        <v>-13.273499999999999</v>
      </c>
      <c r="BL23" s="141">
        <f>IF(BL$2&gt;Input_Tidshorisont,BlankTegn,IF(BL$2=0,SUM(Materialedata[[#This Row],[A1-A3/m²]:[A4/m²]]),
BK23+IF(BL$2=Input_Tidshorisont,SUM(Materialedata[[#This Row],[C3/m²]:[C4/m²]]),IF(MOD(BL$2,Materialedata[[#This Row],[Levetid]])=0,SUM(Materialedata[[#This Row],[A1-A3/m²]:[C4/m²]]),0))
))</f>
        <v>-13.273499999999999</v>
      </c>
      <c r="BM23" s="141">
        <f>IF(BM$2&gt;Input_Tidshorisont,BlankTegn,IF(BM$2=0,SUM(Materialedata[[#This Row],[A1-A3/m²]:[A4/m²]]),
BL23+IF(BM$2=Input_Tidshorisont,SUM(Materialedata[[#This Row],[C3/m²]:[C4/m²]]),IF(MOD(BM$2,Materialedata[[#This Row],[Levetid]])=0,SUM(Materialedata[[#This Row],[A1-A3/m²]:[C4/m²]]),0))
))</f>
        <v>-13.273499999999999</v>
      </c>
      <c r="BN23" s="141">
        <f>IF(BN$2&gt;Input_Tidshorisont,BlankTegn,IF(BN$2=0,SUM(Materialedata[[#This Row],[A1-A3/m²]:[A4/m²]]),
BM23+IF(BN$2=Input_Tidshorisont,SUM(Materialedata[[#This Row],[C3/m²]:[C4/m²]]),IF(MOD(BN$2,Materialedata[[#This Row],[Levetid]])=0,SUM(Materialedata[[#This Row],[A1-A3/m²]:[C4/m²]]),0))
))</f>
        <v>-13.273499999999999</v>
      </c>
      <c r="BO23" s="141">
        <f>IF(BO$2&gt;Input_Tidshorisont,BlankTegn,IF(BO$2=0,SUM(Materialedata[[#This Row],[A1-A3/m²]:[A4/m²]]),
BN23+IF(BO$2=Input_Tidshorisont,SUM(Materialedata[[#This Row],[C3/m²]:[C4/m²]]),IF(MOD(BO$2,Materialedata[[#This Row],[Levetid]])=0,SUM(Materialedata[[#This Row],[A1-A3/m²]:[C4/m²]]),0))
))</f>
        <v>-13.273499999999999</v>
      </c>
      <c r="BP23" s="141">
        <f>IF(BP$2&gt;Input_Tidshorisont,BlankTegn,IF(BP$2=0,SUM(Materialedata[[#This Row],[A1-A3/m²]:[A4/m²]]),
BO23+IF(BP$2=Input_Tidshorisont,SUM(Materialedata[[#This Row],[C3/m²]:[C4/m²]]),IF(MOD(BP$2,Materialedata[[#This Row],[Levetid]])=0,SUM(Materialedata[[#This Row],[A1-A3/m²]:[C4/m²]]),0))
))</f>
        <v>-13.273499999999999</v>
      </c>
      <c r="BQ23" s="141">
        <f>IF(BQ$2&gt;Input_Tidshorisont,BlankTegn,IF(BQ$2=0,SUM(Materialedata[[#This Row],[A1-A3/m²]:[A4/m²]]),
BP23+IF(BQ$2=Input_Tidshorisont,SUM(Materialedata[[#This Row],[C3/m²]:[C4/m²]]),IF(MOD(BQ$2,Materialedata[[#This Row],[Levetid]])=0,SUM(Materialedata[[#This Row],[A1-A3/m²]:[C4/m²]]),0))
))</f>
        <v>-13.273499999999999</v>
      </c>
      <c r="BR23" s="141">
        <f>IF(BR$2&gt;Input_Tidshorisont,BlankTegn,IF(BR$2=0,SUM(Materialedata[[#This Row],[A1-A3/m²]:[A4/m²]]),
BQ23+IF(BR$2=Input_Tidshorisont,SUM(Materialedata[[#This Row],[C3/m²]:[C4/m²]]),IF(MOD(BR$2,Materialedata[[#This Row],[Levetid]])=0,SUM(Materialedata[[#This Row],[A1-A3/m²]:[C4/m²]]),0))
))</f>
        <v>-13.273499999999999</v>
      </c>
      <c r="BS23" s="141">
        <f>IF(BS$2&gt;Input_Tidshorisont,BlankTegn,IF(BS$2=0,SUM(Materialedata[[#This Row],[A1-A3/m²]:[A4/m²]]),
BR23+IF(BS$2=Input_Tidshorisont,SUM(Materialedata[[#This Row],[C3/m²]:[C4/m²]]),IF(MOD(BS$2,Materialedata[[#This Row],[Levetid]])=0,SUM(Materialedata[[#This Row],[A1-A3/m²]:[C4/m²]]),0))
))</f>
        <v>-13.273499999999999</v>
      </c>
      <c r="BT23" s="141">
        <f>IF(BT$2&gt;Input_Tidshorisont,BlankTegn,IF(BT$2=0,SUM(Materialedata[[#This Row],[A1-A3/m²]:[A4/m²]]),
BS23+IF(BT$2=Input_Tidshorisont,SUM(Materialedata[[#This Row],[C3/m²]:[C4/m²]]),IF(MOD(BT$2,Materialedata[[#This Row],[Levetid]])=0,SUM(Materialedata[[#This Row],[A1-A3/m²]:[C4/m²]]),0))
))</f>
        <v>-13.273499999999999</v>
      </c>
      <c r="BU23" s="141">
        <f>IF(BU$2&gt;Input_Tidshorisont,BlankTegn,IF(BU$2=0,SUM(Materialedata[[#This Row],[A1-A3/m²]:[A4/m²]]),
BT23+IF(BU$2=Input_Tidshorisont,SUM(Materialedata[[#This Row],[C3/m²]:[C4/m²]]),IF(MOD(BU$2,Materialedata[[#This Row],[Levetid]])=0,SUM(Materialedata[[#This Row],[A1-A3/m²]:[C4/m²]]),0))
))</f>
        <v>-13.273499999999999</v>
      </c>
      <c r="BV23" s="141">
        <f>IF(BV$2&gt;Input_Tidshorisont,BlankTegn,IF(BV$2=0,SUM(Materialedata[[#This Row],[A1-A3/m²]:[A4/m²]]),
BU23+IF(BV$2=Input_Tidshorisont,SUM(Materialedata[[#This Row],[C3/m²]:[C4/m²]]),IF(MOD(BV$2,Materialedata[[#This Row],[Levetid]])=0,SUM(Materialedata[[#This Row],[A1-A3/m²]:[C4/m²]]),0))
))</f>
        <v>-13.273499999999999</v>
      </c>
      <c r="BW23" s="141">
        <f>IF(BW$2&gt;Input_Tidshorisont,BlankTegn,IF(BW$2=0,SUM(Materialedata[[#This Row],[A1-A3/m²]:[A4/m²]]),
BV23+IF(BW$2=Input_Tidshorisont,SUM(Materialedata[[#This Row],[C3/m²]:[C4/m²]]),IF(MOD(BW$2,Materialedata[[#This Row],[Levetid]])=0,SUM(Materialedata[[#This Row],[A1-A3/m²]:[C4/m²]]),0))
))</f>
        <v>-13.273499999999999</v>
      </c>
      <c r="BX23" s="141">
        <f>IF(BX$2&gt;Input_Tidshorisont,BlankTegn,IF(BX$2=0,SUM(Materialedata[[#This Row],[A1-A3/m²]:[A4/m²]]),
BW23+IF(BX$2=Input_Tidshorisont,SUM(Materialedata[[#This Row],[C3/m²]:[C4/m²]]),IF(MOD(BX$2,Materialedata[[#This Row],[Levetid]])=0,SUM(Materialedata[[#This Row],[A1-A3/m²]:[C4/m²]]),0))
))</f>
        <v>-13.273499999999999</v>
      </c>
      <c r="BY23" s="141">
        <f>IF(BY$2&gt;Input_Tidshorisont,BlankTegn,IF(BY$2=0,SUM(Materialedata[[#This Row],[A1-A3/m²]:[A4/m²]]),
BX23+IF(BY$2=Input_Tidshorisont,SUM(Materialedata[[#This Row],[C3/m²]:[C4/m²]]),IF(MOD(BY$2,Materialedata[[#This Row],[Levetid]])=0,SUM(Materialedata[[#This Row],[A1-A3/m²]:[C4/m²]]),0))
))</f>
        <v>-13.273499999999999</v>
      </c>
      <c r="BZ23" s="141">
        <f>IF(BZ$2&gt;Input_Tidshorisont,BlankTegn,IF(BZ$2=0,SUM(Materialedata[[#This Row],[A1-A3/m²]:[A4/m²]]),
BY23+IF(BZ$2=Input_Tidshorisont,SUM(Materialedata[[#This Row],[C3/m²]:[C4/m²]]),IF(MOD(BZ$2,Materialedata[[#This Row],[Levetid]])=0,SUM(Materialedata[[#This Row],[A1-A3/m²]:[C4/m²]]),0))
))</f>
        <v>-13.273499999999999</v>
      </c>
      <c r="CA23" s="141">
        <f>IF(CA$2&gt;Input_Tidshorisont,BlankTegn,IF(CA$2=0,SUM(Materialedata[[#This Row],[A1-A3/m²]:[A4/m²]]),
BZ23+IF(CA$2=Input_Tidshorisont,SUM(Materialedata[[#This Row],[C3/m²]:[C4/m²]]),IF(MOD(CA$2,Materialedata[[#This Row],[Levetid]])=0,SUM(Materialedata[[#This Row],[A1-A3/m²]:[C4/m²]]),0))
))</f>
        <v>-13.273499999999999</v>
      </c>
      <c r="CB23" s="141">
        <f>IF(CB$2&gt;Input_Tidshorisont,BlankTegn,IF(CB$2=0,SUM(Materialedata[[#This Row],[A1-A3/m²]:[A4/m²]]),
CA23+IF(CB$2=Input_Tidshorisont,SUM(Materialedata[[#This Row],[C3/m²]:[C4/m²]]),IF(MOD(CB$2,Materialedata[[#This Row],[Levetid]])=0,SUM(Materialedata[[#This Row],[A1-A3/m²]:[C4/m²]]),0))
))</f>
        <v>-13.273499999999999</v>
      </c>
      <c r="CC23" s="141">
        <f>IF(CC$2&gt;Input_Tidshorisont,BlankTegn,IF(CC$2=0,SUM(Materialedata[[#This Row],[A1-A3/m²]:[A4/m²]]),
CB23+IF(CC$2=Input_Tidshorisont,SUM(Materialedata[[#This Row],[C3/m²]:[C4/m²]]),IF(MOD(CC$2,Materialedata[[#This Row],[Levetid]])=0,SUM(Materialedata[[#This Row],[A1-A3/m²]:[C4/m²]]),0))
))</f>
        <v>-13.273499999999999</v>
      </c>
      <c r="CD23" s="141">
        <f>IF(CD$2&gt;Input_Tidshorisont,BlankTegn,IF(CD$2=0,SUM(Materialedata[[#This Row],[A1-A3/m²]:[A4/m²]]),
CC23+IF(CD$2=Input_Tidshorisont,SUM(Materialedata[[#This Row],[C3/m²]:[C4/m²]]),IF(MOD(CD$2,Materialedata[[#This Row],[Levetid]])=0,SUM(Materialedata[[#This Row],[A1-A3/m²]:[C4/m²]]),0))
))</f>
        <v>-13.273499999999999</v>
      </c>
      <c r="CE23" s="141">
        <f>IF(CE$2&gt;Input_Tidshorisont,BlankTegn,IF(CE$2=0,SUM(Materialedata[[#This Row],[A1-A3/m²]:[A4/m²]]),
CD23+IF(CE$2=Input_Tidshorisont,SUM(Materialedata[[#This Row],[C3/m²]:[C4/m²]]),IF(MOD(CE$2,Materialedata[[#This Row],[Levetid]])=0,SUM(Materialedata[[#This Row],[A1-A3/m²]:[C4/m²]]),0))
))</f>
        <v>-13.273499999999999</v>
      </c>
      <c r="CF23" s="141">
        <f>IF(CF$2&gt;Input_Tidshorisont,BlankTegn,IF(CF$2=0,SUM(Materialedata[[#This Row],[A1-A3/m²]:[A4/m²]]),
CE23+IF(CF$2=Input_Tidshorisont,SUM(Materialedata[[#This Row],[C3/m²]:[C4/m²]]),IF(MOD(CF$2,Materialedata[[#This Row],[Levetid]])=0,SUM(Materialedata[[#This Row],[A1-A3/m²]:[C4/m²]]),0))
))</f>
        <v>-13.273499999999999</v>
      </c>
      <c r="CG23" s="141">
        <f>IF(CG$2&gt;Input_Tidshorisont,BlankTegn,IF(CG$2=0,SUM(Materialedata[[#This Row],[A1-A3/m²]:[A4/m²]]),
CF23+IF(CG$2=Input_Tidshorisont,SUM(Materialedata[[#This Row],[C3/m²]:[C4/m²]]),IF(MOD(CG$2,Materialedata[[#This Row],[Levetid]])=0,SUM(Materialedata[[#This Row],[A1-A3/m²]:[C4/m²]]),0))
))</f>
        <v>-13.273499999999999</v>
      </c>
      <c r="CH23" s="141">
        <f>IF(CH$2&gt;Input_Tidshorisont,BlankTegn,IF(CH$2=0,SUM(Materialedata[[#This Row],[A1-A3/m²]:[A4/m²]]),
CG23+IF(CH$2=Input_Tidshorisont,SUM(Materialedata[[#This Row],[C3/m²]:[C4/m²]]),IF(MOD(CH$2,Materialedata[[#This Row],[Levetid]])=0,SUM(Materialedata[[#This Row],[A1-A3/m²]:[C4/m²]]),0))
))</f>
        <v>1.2265000000000015</v>
      </c>
      <c r="CI23" s="141" t="str">
        <f>IF(CI$2&gt;Input_Tidshorisont,BlankTegn,IF(CI$2=0,SUM(Materialedata[[#This Row],[A1-A3/m²]:[A4/m²]]),
CH23+IF(CI$2=Input_Tidshorisont,SUM(Materialedata[[#This Row],[C3/m²]:[C4/m²]]),IF(MOD(CI$2,Materialedata[[#This Row],[Levetid]])=0,SUM(Materialedata[[#This Row],[A1-A3/m²]:[C4/m²]]),0))
))</f>
        <v>.</v>
      </c>
      <c r="CJ23" s="141" t="str">
        <f>IF(CJ$2&gt;Input_Tidshorisont,BlankTegn,IF(CJ$2=0,SUM(Materialedata[[#This Row],[A1-A3/m²]:[A4/m²]]),
CI23+IF(CJ$2=Input_Tidshorisont,SUM(Materialedata[[#This Row],[C3/m²]:[C4/m²]]),IF(MOD(CJ$2,Materialedata[[#This Row],[Levetid]])=0,SUM(Materialedata[[#This Row],[A1-A3/m²]:[C4/m²]]),0))
))</f>
        <v>.</v>
      </c>
      <c r="CK23" s="141" t="str">
        <f>IF(CK$2&gt;Input_Tidshorisont,BlankTegn,IF(CK$2=0,SUM(Materialedata[[#This Row],[A1-A3/m²]:[A4/m²]]),
CJ23+IF(CK$2=Input_Tidshorisont,SUM(Materialedata[[#This Row],[C3/m²]:[C4/m²]]),IF(MOD(CK$2,Materialedata[[#This Row],[Levetid]])=0,SUM(Materialedata[[#This Row],[A1-A3/m²]:[C4/m²]]),0))
))</f>
        <v>.</v>
      </c>
      <c r="CL23" s="141" t="str">
        <f>IF(CL$2&gt;Input_Tidshorisont,BlankTegn,IF(CL$2=0,SUM(Materialedata[[#This Row],[A1-A3/m²]:[A4/m²]]),
CK23+IF(CL$2=Input_Tidshorisont,SUM(Materialedata[[#This Row],[C3/m²]:[C4/m²]]),IF(MOD(CL$2,Materialedata[[#This Row],[Levetid]])=0,SUM(Materialedata[[#This Row],[A1-A3/m²]:[C4/m²]]),0))
))</f>
        <v>.</v>
      </c>
      <c r="CM23" s="141" t="str">
        <f>IF(CM$2&gt;Input_Tidshorisont,BlankTegn,IF(CM$2=0,SUM(Materialedata[[#This Row],[A1-A3/m²]:[A4/m²]]),
CL23+IF(CM$2=Input_Tidshorisont,SUM(Materialedata[[#This Row],[C3/m²]:[C4/m²]]),IF(MOD(CM$2,Materialedata[[#This Row],[Levetid]])=0,SUM(Materialedata[[#This Row],[A1-A3/m²]:[C4/m²]]),0))
))</f>
        <v>.</v>
      </c>
      <c r="CN23" s="141" t="str">
        <f>IF(CN$2&gt;Input_Tidshorisont,BlankTegn,IF(CN$2=0,SUM(Materialedata[[#This Row],[A1-A3/m²]:[A4/m²]]),
CM23+IF(CN$2=Input_Tidshorisont,SUM(Materialedata[[#This Row],[C3/m²]:[C4/m²]]),IF(MOD(CN$2,Materialedata[[#This Row],[Levetid]])=0,SUM(Materialedata[[#This Row],[A1-A3/m²]:[C4/m²]]),0))
))</f>
        <v>.</v>
      </c>
      <c r="CO23" s="141" t="str">
        <f>IF(CO$2&gt;Input_Tidshorisont,BlankTegn,IF(CO$2=0,SUM(Materialedata[[#This Row],[A1-A3/m²]:[A4/m²]]),
CN23+IF(CO$2=Input_Tidshorisont,SUM(Materialedata[[#This Row],[C3/m²]:[C4/m²]]),IF(MOD(CO$2,Materialedata[[#This Row],[Levetid]])=0,SUM(Materialedata[[#This Row],[A1-A3/m²]:[C4/m²]]),0))
))</f>
        <v>.</v>
      </c>
      <c r="CP23" s="141" t="str">
        <f>IF(CP$2&gt;Input_Tidshorisont,BlankTegn,IF(CP$2=0,SUM(Materialedata[[#This Row],[A1-A3/m²]:[A4/m²]]),
CO23+IF(CP$2=Input_Tidshorisont,SUM(Materialedata[[#This Row],[C3/m²]:[C4/m²]]),IF(MOD(CP$2,Materialedata[[#This Row],[Levetid]])=0,SUM(Materialedata[[#This Row],[A1-A3/m²]:[C4/m²]]),0))
))</f>
        <v>.</v>
      </c>
      <c r="CQ23" s="141" t="str">
        <f>IF(CQ$2&gt;Input_Tidshorisont,BlankTegn,IF(CQ$2=0,SUM(Materialedata[[#This Row],[A1-A3/m²]:[A4/m²]]),
CP23+IF(CQ$2=Input_Tidshorisont,SUM(Materialedata[[#This Row],[C3/m²]:[C4/m²]]),IF(MOD(CQ$2,Materialedata[[#This Row],[Levetid]])=0,SUM(Materialedata[[#This Row],[A1-A3/m²]:[C4/m²]]),0))
))</f>
        <v>.</v>
      </c>
      <c r="CR23" s="141" t="str">
        <f>IF(CR$2&gt;Input_Tidshorisont,BlankTegn,IF(CR$2=0,SUM(Materialedata[[#This Row],[A1-A3/m²]:[A4/m²]]),
CQ23+IF(CR$2=Input_Tidshorisont,SUM(Materialedata[[#This Row],[C3/m²]:[C4/m²]]),IF(MOD(CR$2,Materialedata[[#This Row],[Levetid]])=0,SUM(Materialedata[[#This Row],[A1-A3/m²]:[C4/m²]]),0))
))</f>
        <v>.</v>
      </c>
      <c r="CS23" s="141" t="str">
        <f>IF(CS$2&gt;Input_Tidshorisont,BlankTegn,IF(CS$2=0,SUM(Materialedata[[#This Row],[A1-A3/m²]:[A4/m²]]),
CR23+IF(CS$2=Input_Tidshorisont,SUM(Materialedata[[#This Row],[C3/m²]:[C4/m²]]),IF(MOD(CS$2,Materialedata[[#This Row],[Levetid]])=0,SUM(Materialedata[[#This Row],[A1-A3/m²]:[C4/m²]]),0))
))</f>
        <v>.</v>
      </c>
      <c r="CT23" s="141" t="str">
        <f>IF(CT$2&gt;Input_Tidshorisont,BlankTegn,IF(CT$2=0,SUM(Materialedata[[#This Row],[A1-A3/m²]:[A4/m²]]),
CS23+IF(CT$2=Input_Tidshorisont,SUM(Materialedata[[#This Row],[C3/m²]:[C4/m²]]),IF(MOD(CT$2,Materialedata[[#This Row],[Levetid]])=0,SUM(Materialedata[[#This Row],[A1-A3/m²]:[C4/m²]]),0))
))</f>
        <v>.</v>
      </c>
      <c r="CU23" s="141" t="str">
        <f>IF(CU$2&gt;Input_Tidshorisont,BlankTegn,IF(CU$2=0,SUM(Materialedata[[#This Row],[A1-A3/m²]:[A4/m²]]),
CT23+IF(CU$2=Input_Tidshorisont,SUM(Materialedata[[#This Row],[C3/m²]:[C4/m²]]),IF(MOD(CU$2,Materialedata[[#This Row],[Levetid]])=0,SUM(Materialedata[[#This Row],[A1-A3/m²]:[C4/m²]]),0))
))</f>
        <v>.</v>
      </c>
      <c r="CV23" s="141" t="str">
        <f>IF(CV$2&gt;Input_Tidshorisont,BlankTegn,IF(CV$2=0,SUM(Materialedata[[#This Row],[A1-A3/m²]:[A4/m²]]),
CU23+IF(CV$2=Input_Tidshorisont,SUM(Materialedata[[#This Row],[C3/m²]:[C4/m²]]),IF(MOD(CV$2,Materialedata[[#This Row],[Levetid]])=0,SUM(Materialedata[[#This Row],[A1-A3/m²]:[C4/m²]]),0))
))</f>
        <v>.</v>
      </c>
      <c r="CW23" s="141" t="str">
        <f>IF(CW$2&gt;Input_Tidshorisont,BlankTegn,IF(CW$2=0,SUM(Materialedata[[#This Row],[A1-A3/m²]:[A4/m²]]),
CV23+IF(CW$2=Input_Tidshorisont,SUM(Materialedata[[#This Row],[C3/m²]:[C4/m²]]),IF(MOD(CW$2,Materialedata[[#This Row],[Levetid]])=0,SUM(Materialedata[[#This Row],[A1-A3/m²]:[C4/m²]]),0))
))</f>
        <v>.</v>
      </c>
      <c r="CX23" s="141" t="str">
        <f>IF(CX$2&gt;Input_Tidshorisont,BlankTegn,IF(CX$2=0,SUM(Materialedata[[#This Row],[A1-A3/m²]:[A4/m²]]),
CW23+IF(CX$2=Input_Tidshorisont,SUM(Materialedata[[#This Row],[C3/m²]:[C4/m²]]),IF(MOD(CX$2,Materialedata[[#This Row],[Levetid]])=0,SUM(Materialedata[[#This Row],[A1-A3/m²]:[C4/m²]]),0))
))</f>
        <v>.</v>
      </c>
      <c r="CY23" s="141" t="str">
        <f>IF(CY$2&gt;Input_Tidshorisont,BlankTegn,IF(CY$2=0,SUM(Materialedata[[#This Row],[A1-A3/m²]:[A4/m²]]),
CX23+IF(CY$2=Input_Tidshorisont,SUM(Materialedata[[#This Row],[C3/m²]:[C4/m²]]),IF(MOD(CY$2,Materialedata[[#This Row],[Levetid]])=0,SUM(Materialedata[[#This Row],[A1-A3/m²]:[C4/m²]]),0))
))</f>
        <v>.</v>
      </c>
      <c r="CZ23" s="141" t="str">
        <f>IF(CZ$2&gt;Input_Tidshorisont,BlankTegn,IF(CZ$2=0,SUM(Materialedata[[#This Row],[A1-A3/m²]:[A4/m²]]),
CY23+IF(CZ$2=Input_Tidshorisont,SUM(Materialedata[[#This Row],[C3/m²]:[C4/m²]]),IF(MOD(CZ$2,Materialedata[[#This Row],[Levetid]])=0,SUM(Materialedata[[#This Row],[A1-A3/m²]:[C4/m²]]),0))
))</f>
        <v>.</v>
      </c>
      <c r="DA23" s="141" t="str">
        <f>IF(DA$2&gt;Input_Tidshorisont,BlankTegn,IF(DA$2=0,SUM(Materialedata[[#This Row],[A1-A3/m²]:[A4/m²]]),
CZ23+IF(DA$2=Input_Tidshorisont,SUM(Materialedata[[#This Row],[C3/m²]:[C4/m²]]),IF(MOD(DA$2,Materialedata[[#This Row],[Levetid]])=0,SUM(Materialedata[[#This Row],[A1-A3/m²]:[C4/m²]]),0))
))</f>
        <v>.</v>
      </c>
      <c r="DB23" s="141" t="str">
        <f>IF(DB$2&gt;Input_Tidshorisont,BlankTegn,IF(DB$2=0,SUM(Materialedata[[#This Row],[A1-A3/m²]:[A4/m²]]),
DA23+IF(DB$2=Input_Tidshorisont,SUM(Materialedata[[#This Row],[C3/m²]:[C4/m²]]),IF(MOD(DB$2,Materialedata[[#This Row],[Levetid]])=0,SUM(Materialedata[[#This Row],[A1-A3/m²]:[C4/m²]]),0))
))</f>
        <v>.</v>
      </c>
      <c r="DC23" s="141" t="str">
        <f>IF(DC$2&gt;Input_Tidshorisont,BlankTegn,IF(DC$2=0,SUM(Materialedata[[#This Row],[A1-A3/m²]:[A4/m²]]),
DB23+IF(DC$2=Input_Tidshorisont,SUM(Materialedata[[#This Row],[C3/m²]:[C4/m²]]),IF(MOD(DC$2,Materialedata[[#This Row],[Levetid]])=0,SUM(Materialedata[[#This Row],[A1-A3/m²]:[C4/m²]]),0))
))</f>
        <v>.</v>
      </c>
      <c r="DD23" s="141" t="str">
        <f>IF(DD$2&gt;Input_Tidshorisont,BlankTegn,IF(DD$2=0,SUM(Materialedata[[#This Row],[A1-A3/m²]:[A4/m²]]),
DC23+IF(DD$2=Input_Tidshorisont,SUM(Materialedata[[#This Row],[C3/m²]:[C4/m²]]),IF(MOD(DD$2,Materialedata[[#This Row],[Levetid]])=0,SUM(Materialedata[[#This Row],[A1-A3/m²]:[C4/m²]]),0))
))</f>
        <v>.</v>
      </c>
      <c r="DE23" s="141" t="str">
        <f>IF(DE$2&gt;Input_Tidshorisont,BlankTegn,IF(DE$2=0,SUM(Materialedata[[#This Row],[A1-A3/m²]:[A4/m²]]),
DD23+IF(DE$2=Input_Tidshorisont,SUM(Materialedata[[#This Row],[C3/m²]:[C4/m²]]),IF(MOD(DE$2,Materialedata[[#This Row],[Levetid]])=0,SUM(Materialedata[[#This Row],[A1-A3/m²]:[C4/m²]]),0))
))</f>
        <v>.</v>
      </c>
      <c r="DF23" s="141" t="str">
        <f>IF(DF$2&gt;Input_Tidshorisont,BlankTegn,IF(DF$2=0,SUM(Materialedata[[#This Row],[A1-A3/m²]:[A4/m²]]),
DE23+IF(DF$2=Input_Tidshorisont,SUM(Materialedata[[#This Row],[C3/m²]:[C4/m²]]),IF(MOD(DF$2,Materialedata[[#This Row],[Levetid]])=0,SUM(Materialedata[[#This Row],[A1-A3/m²]:[C4/m²]]),0))
))</f>
        <v>.</v>
      </c>
      <c r="DG23" s="141" t="str">
        <f>IF(DG$2&gt;Input_Tidshorisont,BlankTegn,IF(DG$2=0,SUM(Materialedata[[#This Row],[A1-A3/m²]:[A4/m²]]),
DF23+IF(DG$2=Input_Tidshorisont,SUM(Materialedata[[#This Row],[C3/m²]:[C4/m²]]),IF(MOD(DG$2,Materialedata[[#This Row],[Levetid]])=0,SUM(Materialedata[[#This Row],[A1-A3/m²]:[C4/m²]]),0))
))</f>
        <v>.</v>
      </c>
      <c r="DH23" s="141" t="str">
        <f>IF(DH$2&gt;Input_Tidshorisont,BlankTegn,IF(DH$2=0,SUM(Materialedata[[#This Row],[A1-A3/m²]:[A4/m²]]),
DG23+IF(DH$2=Input_Tidshorisont,SUM(Materialedata[[#This Row],[C3/m²]:[C4/m²]]),IF(MOD(DH$2,Materialedata[[#This Row],[Levetid]])=0,SUM(Materialedata[[#This Row],[A1-A3/m²]:[C4/m²]]),0))
))</f>
        <v>.</v>
      </c>
      <c r="DI23" s="141" t="str">
        <f>IF(DI$2&gt;Input_Tidshorisont,BlankTegn,IF(DI$2=0,SUM(Materialedata[[#This Row],[A1-A3/m²]:[A4/m²]]),
DH23+IF(DI$2=Input_Tidshorisont,SUM(Materialedata[[#This Row],[C3/m²]:[C4/m²]]),IF(MOD(DI$2,Materialedata[[#This Row],[Levetid]])=0,SUM(Materialedata[[#This Row],[A1-A3/m²]:[C4/m²]]),0))
))</f>
        <v>.</v>
      </c>
      <c r="DJ23" s="141" t="str">
        <f>IF(DJ$2&gt;Input_Tidshorisont,BlankTegn,IF(DJ$2=0,SUM(Materialedata[[#This Row],[A1-A3/m²]:[A4/m²]]),
DI23+IF(DJ$2=Input_Tidshorisont,SUM(Materialedata[[#This Row],[C3/m²]:[C4/m²]]),IF(MOD(DJ$2,Materialedata[[#This Row],[Levetid]])=0,SUM(Materialedata[[#This Row],[A1-A3/m²]:[C4/m²]]),0))
))</f>
        <v>.</v>
      </c>
      <c r="DK23" s="141" t="str">
        <f>IF(DK$2&gt;Input_Tidshorisont,BlankTegn,IF(DK$2=0,SUM(Materialedata[[#This Row],[A1-A3/m²]:[A4/m²]]),
DJ23+IF(DK$2=Input_Tidshorisont,SUM(Materialedata[[#This Row],[C3/m²]:[C4/m²]]),IF(MOD(DK$2,Materialedata[[#This Row],[Levetid]])=0,SUM(Materialedata[[#This Row],[A1-A3/m²]:[C4/m²]]),0))
))</f>
        <v>.</v>
      </c>
      <c r="DL23" s="141" t="str">
        <f>IF(DL$2&gt;Input_Tidshorisont,BlankTegn,IF(DL$2=0,SUM(Materialedata[[#This Row],[A1-A3/m²]:[A4/m²]]),
DK23+IF(DL$2=Input_Tidshorisont,SUM(Materialedata[[#This Row],[C3/m²]:[C4/m²]]),IF(MOD(DL$2,Materialedata[[#This Row],[Levetid]])=0,SUM(Materialedata[[#This Row],[A1-A3/m²]:[C4/m²]]),0))
))</f>
        <v>.</v>
      </c>
      <c r="DM23" s="19"/>
    </row>
    <row r="24" spans="1:117">
      <c r="A24" s="182" t="s">
        <v>248</v>
      </c>
      <c r="B24" s="182" t="s">
        <v>160</v>
      </c>
      <c r="C24" s="148" t="s">
        <v>162</v>
      </c>
      <c r="D24" s="184"/>
      <c r="E24" s="180" t="s">
        <v>276</v>
      </c>
      <c r="F24" s="182" t="s">
        <v>300</v>
      </c>
      <c r="G24" s="182">
        <v>60</v>
      </c>
      <c r="H24" s="183">
        <v>35</v>
      </c>
      <c r="I24" s="184">
        <f>0.15*1*1</f>
        <v>0.15</v>
      </c>
      <c r="J24" s="184" t="s">
        <v>232</v>
      </c>
      <c r="K24" s="182">
        <v>-6.81</v>
      </c>
      <c r="L24" s="182" t="s">
        <v>97</v>
      </c>
      <c r="M24" s="185">
        <f>IF(ISBLANK(Materialedata[[#This Row],[A4-gruppe]]),BlankTegn,INDEX(Byggeproces[GWP],MATCH(Materialedata[[#This Row],[A4-gruppe]],Byggeproces[Gruppe/Undergruppe],0)))</f>
        <v>4.9500000000000002E-2</v>
      </c>
      <c r="N24" s="182">
        <v>7.08</v>
      </c>
      <c r="O24" s="182">
        <v>0.17</v>
      </c>
      <c r="P24" s="182">
        <v>2.57</v>
      </c>
      <c r="Q24" s="277">
        <f>Materialedata[[#This Row],[A1-A3/standardenhed]]/0.1*Materialedata[[#This Row],[Mængde/m²]]</f>
        <v>-10.214999999999998</v>
      </c>
      <c r="R24" s="278" cm="1">
        <f t="array" ref="R24">IFERROR(_xlfn.IFS(Materialedata[[#This Row],[Mængde-enhed]]="kg/m²",Materialedata[[#This Row],[A4/kg]]*Materialedata[[#This Row],[Mængde/m²]],Materialedata[[#This Row],[Mængde-enhed]]="m³/m²",Materialedata[[#This Row],[A4/kg]]*Materialedata[[#This Row],[Mængde/m²]]*Materialedata[[#This Row],[Densitet]]),"N/A")</f>
        <v>0.25987500000000002</v>
      </c>
      <c r="S24" s="277">
        <f>Materialedata[[#This Row],[C3/enhed]]*Materialedata[[#This Row],[Mængde/m²]]/0.1</f>
        <v>10.62</v>
      </c>
      <c r="T24" s="277">
        <f>Materialedata[[#This Row],[C4/enhed]]*Materialedata[[#This Row],[Mængde/m²]]/0.1</f>
        <v>0.255</v>
      </c>
      <c r="U24" s="277">
        <f>Materialedata[[#This Row],[D/enhed]]*Materialedata[[#This Row],[Mængde/m²]]/0.1</f>
        <v>3.8549999999999995</v>
      </c>
      <c r="V24" s="150">
        <f>IFERROR(INDEX(Range_Materiale_Genbrug,MATCH(Materialedata[[#This Row],[Komponent]],Facadekomponenter,0)),BlankTegn)</f>
        <v>0</v>
      </c>
      <c r="W24" s="150">
        <f>IFERROR(1-Materialedata[[#This Row],[Genbrug]],BlankTegn)</f>
        <v>1</v>
      </c>
      <c r="X24" s="186">
        <f>IFERROR(Materialedata[[#This Row],[A1-A3/m²_nyt]]*Materialedata[[#This Row],[Nyt]],BlankTegn)</f>
        <v>-10.214999999999998</v>
      </c>
      <c r="Y24" s="186">
        <f>Materialedata[[#This Row],[A4/m²_nyt]]</f>
        <v>0.25987500000000002</v>
      </c>
      <c r="Z24" s="186">
        <f>IFERROR(Materialedata[[#This Row],[C3/m²_nyt]]*Materialedata[[#This Row],[Nyt]],BlankTegn)</f>
        <v>10.62</v>
      </c>
      <c r="AA24" s="186">
        <f>IFERROR(Materialedata[[#This Row],[C4/m²_nyt]]*Materialedata[[#This Row],[Nyt]],BlankTegn)</f>
        <v>0.255</v>
      </c>
      <c r="AB24" s="186">
        <f>IFERROR(Materialedata[[#This Row],[D/m²_nyt]]*Materialedata[[#This Row],[Nyt]],BlankTegn)</f>
        <v>3.8549999999999995</v>
      </c>
      <c r="AC24" s="187">
        <f>AC33*3</f>
        <v>401.34000000000003</v>
      </c>
      <c r="AD24" s="188" t="s">
        <v>29</v>
      </c>
      <c r="AE24" s="182">
        <v>1</v>
      </c>
      <c r="AF24" s="189">
        <f>Materialedata[[#This Row],[Pris/enhed]]*Materialedata[[#This Row],[Omregning]]</f>
        <v>401.34000000000003</v>
      </c>
      <c r="AG24" s="190">
        <v>0.02</v>
      </c>
      <c r="AH24" s="191">
        <v>1</v>
      </c>
      <c r="AI24" s="162">
        <v>0</v>
      </c>
      <c r="AJ24" s="141">
        <f>IF(AJ$2&gt;Input_Tidshorisont,BlankTegn,IF(AJ$2=0,SUM(Materialedata[[#This Row],[A1-A3/m²]:[A4/m²]]),
AI24+IF(AJ$2=Input_Tidshorisont,SUM(Materialedata[[#This Row],[C3/m²]:[C4/m²]]),IF(MOD(AJ$2,Materialedata[[#This Row],[Levetid]])=0,SUM(Materialedata[[#This Row],[A1-A3/m²]:[C4/m²]]),0))
))</f>
        <v>-9.9551249999999989</v>
      </c>
      <c r="AK24" s="141">
        <f>IF(AK$2&gt;Input_Tidshorisont,BlankTegn,IF(AK$2=0,SUM(Materialedata[[#This Row],[A1-A3/m²]:[A4/m²]]),
AJ24+IF(AK$2=Input_Tidshorisont,SUM(Materialedata[[#This Row],[C3/m²]:[C4/m²]]),IF(MOD(AK$2,Materialedata[[#This Row],[Levetid]])=0,SUM(Materialedata[[#This Row],[A1-A3/m²]:[C4/m²]]),0))
))</f>
        <v>-9.9551249999999989</v>
      </c>
      <c r="AL24" s="141">
        <f>IF(AL$2&gt;Input_Tidshorisont,BlankTegn,IF(AL$2=0,SUM(Materialedata[[#This Row],[A1-A3/m²]:[A4/m²]]),
AK24+IF(AL$2=Input_Tidshorisont,SUM(Materialedata[[#This Row],[C3/m²]:[C4/m²]]),IF(MOD(AL$2,Materialedata[[#This Row],[Levetid]])=0,SUM(Materialedata[[#This Row],[A1-A3/m²]:[C4/m²]]),0))
))</f>
        <v>-9.9551249999999989</v>
      </c>
      <c r="AM24" s="141">
        <f>IF(AM$2&gt;Input_Tidshorisont,BlankTegn,IF(AM$2=0,SUM(Materialedata[[#This Row],[A1-A3/m²]:[A4/m²]]),
AL24+IF(AM$2=Input_Tidshorisont,SUM(Materialedata[[#This Row],[C3/m²]:[C4/m²]]),IF(MOD(AM$2,Materialedata[[#This Row],[Levetid]])=0,SUM(Materialedata[[#This Row],[A1-A3/m²]:[C4/m²]]),0))
))</f>
        <v>-9.9551249999999989</v>
      </c>
      <c r="AN24" s="141">
        <f>IF(AN$2&gt;Input_Tidshorisont,BlankTegn,IF(AN$2=0,SUM(Materialedata[[#This Row],[A1-A3/m²]:[A4/m²]]),
AM24+IF(AN$2=Input_Tidshorisont,SUM(Materialedata[[#This Row],[C3/m²]:[C4/m²]]),IF(MOD(AN$2,Materialedata[[#This Row],[Levetid]])=0,SUM(Materialedata[[#This Row],[A1-A3/m²]:[C4/m²]]),0))
))</f>
        <v>-9.9551249999999989</v>
      </c>
      <c r="AO24" s="141">
        <f>IF(AO$2&gt;Input_Tidshorisont,BlankTegn,IF(AO$2=0,SUM(Materialedata[[#This Row],[A1-A3/m²]:[A4/m²]]),
AN24+IF(AO$2=Input_Tidshorisont,SUM(Materialedata[[#This Row],[C3/m²]:[C4/m²]]),IF(MOD(AO$2,Materialedata[[#This Row],[Levetid]])=0,SUM(Materialedata[[#This Row],[A1-A3/m²]:[C4/m²]]),0))
))</f>
        <v>-9.9551249999999989</v>
      </c>
      <c r="AP24" s="141">
        <f>IF(AP$2&gt;Input_Tidshorisont,BlankTegn,IF(AP$2=0,SUM(Materialedata[[#This Row],[A1-A3/m²]:[A4/m²]]),
AO24+IF(AP$2=Input_Tidshorisont,SUM(Materialedata[[#This Row],[C3/m²]:[C4/m²]]),IF(MOD(AP$2,Materialedata[[#This Row],[Levetid]])=0,SUM(Materialedata[[#This Row],[A1-A3/m²]:[C4/m²]]),0))
))</f>
        <v>-9.9551249999999989</v>
      </c>
      <c r="AQ24" s="141">
        <f>IF(AQ$2&gt;Input_Tidshorisont,BlankTegn,IF(AQ$2=0,SUM(Materialedata[[#This Row],[A1-A3/m²]:[A4/m²]]),
AP24+IF(AQ$2=Input_Tidshorisont,SUM(Materialedata[[#This Row],[C3/m²]:[C4/m²]]),IF(MOD(AQ$2,Materialedata[[#This Row],[Levetid]])=0,SUM(Materialedata[[#This Row],[A1-A3/m²]:[C4/m²]]),0))
))</f>
        <v>-9.9551249999999989</v>
      </c>
      <c r="AR24" s="141">
        <f>IF(AR$2&gt;Input_Tidshorisont,BlankTegn,IF(AR$2=0,SUM(Materialedata[[#This Row],[A1-A3/m²]:[A4/m²]]),
AQ24+IF(AR$2=Input_Tidshorisont,SUM(Materialedata[[#This Row],[C3/m²]:[C4/m²]]),IF(MOD(AR$2,Materialedata[[#This Row],[Levetid]])=0,SUM(Materialedata[[#This Row],[A1-A3/m²]:[C4/m²]]),0))
))</f>
        <v>-9.9551249999999989</v>
      </c>
      <c r="AS24" s="141">
        <f>IF(AS$2&gt;Input_Tidshorisont,BlankTegn,IF(AS$2=0,SUM(Materialedata[[#This Row],[A1-A3/m²]:[A4/m²]]),
AR24+IF(AS$2=Input_Tidshorisont,SUM(Materialedata[[#This Row],[C3/m²]:[C4/m²]]),IF(MOD(AS$2,Materialedata[[#This Row],[Levetid]])=0,SUM(Materialedata[[#This Row],[A1-A3/m²]:[C4/m²]]),0))
))</f>
        <v>-9.9551249999999989</v>
      </c>
      <c r="AT24" s="141">
        <f>IF(AT$2&gt;Input_Tidshorisont,BlankTegn,IF(AT$2=0,SUM(Materialedata[[#This Row],[A1-A3/m²]:[A4/m²]]),
AS24+IF(AT$2=Input_Tidshorisont,SUM(Materialedata[[#This Row],[C3/m²]:[C4/m²]]),IF(MOD(AT$2,Materialedata[[#This Row],[Levetid]])=0,SUM(Materialedata[[#This Row],[A1-A3/m²]:[C4/m²]]),0))
))</f>
        <v>-9.9551249999999989</v>
      </c>
      <c r="AU24" s="141">
        <f>IF(AU$2&gt;Input_Tidshorisont,BlankTegn,IF(AU$2=0,SUM(Materialedata[[#This Row],[A1-A3/m²]:[A4/m²]]),
AT24+IF(AU$2=Input_Tidshorisont,SUM(Materialedata[[#This Row],[C3/m²]:[C4/m²]]),IF(MOD(AU$2,Materialedata[[#This Row],[Levetid]])=0,SUM(Materialedata[[#This Row],[A1-A3/m²]:[C4/m²]]),0))
))</f>
        <v>-9.9551249999999989</v>
      </c>
      <c r="AV24" s="141">
        <f>IF(AV$2&gt;Input_Tidshorisont,BlankTegn,IF(AV$2=0,SUM(Materialedata[[#This Row],[A1-A3/m²]:[A4/m²]]),
AU24+IF(AV$2=Input_Tidshorisont,SUM(Materialedata[[#This Row],[C3/m²]:[C4/m²]]),IF(MOD(AV$2,Materialedata[[#This Row],[Levetid]])=0,SUM(Materialedata[[#This Row],[A1-A3/m²]:[C4/m²]]),0))
))</f>
        <v>-9.9551249999999989</v>
      </c>
      <c r="AW24" s="141">
        <f>IF(AW$2&gt;Input_Tidshorisont,BlankTegn,IF(AW$2=0,SUM(Materialedata[[#This Row],[A1-A3/m²]:[A4/m²]]),
AV24+IF(AW$2=Input_Tidshorisont,SUM(Materialedata[[#This Row],[C3/m²]:[C4/m²]]),IF(MOD(AW$2,Materialedata[[#This Row],[Levetid]])=0,SUM(Materialedata[[#This Row],[A1-A3/m²]:[C4/m²]]),0))
))</f>
        <v>-9.9551249999999989</v>
      </c>
      <c r="AX24" s="141">
        <f>IF(AX$2&gt;Input_Tidshorisont,BlankTegn,IF(AX$2=0,SUM(Materialedata[[#This Row],[A1-A3/m²]:[A4/m²]]),
AW24+IF(AX$2=Input_Tidshorisont,SUM(Materialedata[[#This Row],[C3/m²]:[C4/m²]]),IF(MOD(AX$2,Materialedata[[#This Row],[Levetid]])=0,SUM(Materialedata[[#This Row],[A1-A3/m²]:[C4/m²]]),0))
))</f>
        <v>-9.9551249999999989</v>
      </c>
      <c r="AY24" s="141">
        <f>IF(AY$2&gt;Input_Tidshorisont,BlankTegn,IF(AY$2=0,SUM(Materialedata[[#This Row],[A1-A3/m²]:[A4/m²]]),
AX24+IF(AY$2=Input_Tidshorisont,SUM(Materialedata[[#This Row],[C3/m²]:[C4/m²]]),IF(MOD(AY$2,Materialedata[[#This Row],[Levetid]])=0,SUM(Materialedata[[#This Row],[A1-A3/m²]:[C4/m²]]),0))
))</f>
        <v>-9.9551249999999989</v>
      </c>
      <c r="AZ24" s="141">
        <f>IF(AZ$2&gt;Input_Tidshorisont,BlankTegn,IF(AZ$2=0,SUM(Materialedata[[#This Row],[A1-A3/m²]:[A4/m²]]),
AY24+IF(AZ$2=Input_Tidshorisont,SUM(Materialedata[[#This Row],[C3/m²]:[C4/m²]]),IF(MOD(AZ$2,Materialedata[[#This Row],[Levetid]])=0,SUM(Materialedata[[#This Row],[A1-A3/m²]:[C4/m²]]),0))
))</f>
        <v>-9.9551249999999989</v>
      </c>
      <c r="BA24" s="141">
        <f>IF(BA$2&gt;Input_Tidshorisont,BlankTegn,IF(BA$2=0,SUM(Materialedata[[#This Row],[A1-A3/m²]:[A4/m²]]),
AZ24+IF(BA$2=Input_Tidshorisont,SUM(Materialedata[[#This Row],[C3/m²]:[C4/m²]]),IF(MOD(BA$2,Materialedata[[#This Row],[Levetid]])=0,SUM(Materialedata[[#This Row],[A1-A3/m²]:[C4/m²]]),0))
))</f>
        <v>-9.9551249999999989</v>
      </c>
      <c r="BB24" s="141">
        <f>IF(BB$2&gt;Input_Tidshorisont,BlankTegn,IF(BB$2=0,SUM(Materialedata[[#This Row],[A1-A3/m²]:[A4/m²]]),
BA24+IF(BB$2=Input_Tidshorisont,SUM(Materialedata[[#This Row],[C3/m²]:[C4/m²]]),IF(MOD(BB$2,Materialedata[[#This Row],[Levetid]])=0,SUM(Materialedata[[#This Row],[A1-A3/m²]:[C4/m²]]),0))
))</f>
        <v>-9.9551249999999989</v>
      </c>
      <c r="BC24" s="141">
        <f>IF(BC$2&gt;Input_Tidshorisont,BlankTegn,IF(BC$2=0,SUM(Materialedata[[#This Row],[A1-A3/m²]:[A4/m²]]),
BB24+IF(BC$2=Input_Tidshorisont,SUM(Materialedata[[#This Row],[C3/m²]:[C4/m²]]),IF(MOD(BC$2,Materialedata[[#This Row],[Levetid]])=0,SUM(Materialedata[[#This Row],[A1-A3/m²]:[C4/m²]]),0))
))</f>
        <v>-9.9551249999999989</v>
      </c>
      <c r="BD24" s="141">
        <f>IF(BD$2&gt;Input_Tidshorisont,BlankTegn,IF(BD$2=0,SUM(Materialedata[[#This Row],[A1-A3/m²]:[A4/m²]]),
BC24+IF(BD$2=Input_Tidshorisont,SUM(Materialedata[[#This Row],[C3/m²]:[C4/m²]]),IF(MOD(BD$2,Materialedata[[#This Row],[Levetid]])=0,SUM(Materialedata[[#This Row],[A1-A3/m²]:[C4/m²]]),0))
))</f>
        <v>-9.9551249999999989</v>
      </c>
      <c r="BE24" s="141">
        <f>IF(BE$2&gt;Input_Tidshorisont,BlankTegn,IF(BE$2=0,SUM(Materialedata[[#This Row],[A1-A3/m²]:[A4/m²]]),
BD24+IF(BE$2=Input_Tidshorisont,SUM(Materialedata[[#This Row],[C3/m²]:[C4/m²]]),IF(MOD(BE$2,Materialedata[[#This Row],[Levetid]])=0,SUM(Materialedata[[#This Row],[A1-A3/m²]:[C4/m²]]),0))
))</f>
        <v>-9.9551249999999989</v>
      </c>
      <c r="BF24" s="141">
        <f>IF(BF$2&gt;Input_Tidshorisont,BlankTegn,IF(BF$2=0,SUM(Materialedata[[#This Row],[A1-A3/m²]:[A4/m²]]),
BE24+IF(BF$2=Input_Tidshorisont,SUM(Materialedata[[#This Row],[C3/m²]:[C4/m²]]),IF(MOD(BF$2,Materialedata[[#This Row],[Levetid]])=0,SUM(Materialedata[[#This Row],[A1-A3/m²]:[C4/m²]]),0))
))</f>
        <v>-9.9551249999999989</v>
      </c>
      <c r="BG24" s="141">
        <f>IF(BG$2&gt;Input_Tidshorisont,BlankTegn,IF(BG$2=0,SUM(Materialedata[[#This Row],[A1-A3/m²]:[A4/m²]]),
BF24+IF(BG$2=Input_Tidshorisont,SUM(Materialedata[[#This Row],[C3/m²]:[C4/m²]]),IF(MOD(BG$2,Materialedata[[#This Row],[Levetid]])=0,SUM(Materialedata[[#This Row],[A1-A3/m²]:[C4/m²]]),0))
))</f>
        <v>-9.9551249999999989</v>
      </c>
      <c r="BH24" s="141">
        <f>IF(BH$2&gt;Input_Tidshorisont,BlankTegn,IF(BH$2=0,SUM(Materialedata[[#This Row],[A1-A3/m²]:[A4/m²]]),
BG24+IF(BH$2=Input_Tidshorisont,SUM(Materialedata[[#This Row],[C3/m²]:[C4/m²]]),IF(MOD(BH$2,Materialedata[[#This Row],[Levetid]])=0,SUM(Materialedata[[#This Row],[A1-A3/m²]:[C4/m²]]),0))
))</f>
        <v>-9.9551249999999989</v>
      </c>
      <c r="BI24" s="141">
        <f>IF(BI$2&gt;Input_Tidshorisont,BlankTegn,IF(BI$2=0,SUM(Materialedata[[#This Row],[A1-A3/m²]:[A4/m²]]),
BH24+IF(BI$2=Input_Tidshorisont,SUM(Materialedata[[#This Row],[C3/m²]:[C4/m²]]),IF(MOD(BI$2,Materialedata[[#This Row],[Levetid]])=0,SUM(Materialedata[[#This Row],[A1-A3/m²]:[C4/m²]]),0))
))</f>
        <v>-9.9551249999999989</v>
      </c>
      <c r="BJ24" s="141">
        <f>IF(BJ$2&gt;Input_Tidshorisont,BlankTegn,IF(BJ$2=0,SUM(Materialedata[[#This Row],[A1-A3/m²]:[A4/m²]]),
BI24+IF(BJ$2=Input_Tidshorisont,SUM(Materialedata[[#This Row],[C3/m²]:[C4/m²]]),IF(MOD(BJ$2,Materialedata[[#This Row],[Levetid]])=0,SUM(Materialedata[[#This Row],[A1-A3/m²]:[C4/m²]]),0))
))</f>
        <v>-9.9551249999999989</v>
      </c>
      <c r="BK24" s="141">
        <f>IF(BK$2&gt;Input_Tidshorisont,BlankTegn,IF(BK$2=0,SUM(Materialedata[[#This Row],[A1-A3/m²]:[A4/m²]]),
BJ24+IF(BK$2=Input_Tidshorisont,SUM(Materialedata[[#This Row],[C3/m²]:[C4/m²]]),IF(MOD(BK$2,Materialedata[[#This Row],[Levetid]])=0,SUM(Materialedata[[#This Row],[A1-A3/m²]:[C4/m²]]),0))
))</f>
        <v>-9.9551249999999989</v>
      </c>
      <c r="BL24" s="141">
        <f>IF(BL$2&gt;Input_Tidshorisont,BlankTegn,IF(BL$2=0,SUM(Materialedata[[#This Row],[A1-A3/m²]:[A4/m²]]),
BK24+IF(BL$2=Input_Tidshorisont,SUM(Materialedata[[#This Row],[C3/m²]:[C4/m²]]),IF(MOD(BL$2,Materialedata[[#This Row],[Levetid]])=0,SUM(Materialedata[[#This Row],[A1-A3/m²]:[C4/m²]]),0))
))</f>
        <v>-9.9551249999999989</v>
      </c>
      <c r="BM24" s="141">
        <f>IF(BM$2&gt;Input_Tidshorisont,BlankTegn,IF(BM$2=0,SUM(Materialedata[[#This Row],[A1-A3/m²]:[A4/m²]]),
BL24+IF(BM$2=Input_Tidshorisont,SUM(Materialedata[[#This Row],[C3/m²]:[C4/m²]]),IF(MOD(BM$2,Materialedata[[#This Row],[Levetid]])=0,SUM(Materialedata[[#This Row],[A1-A3/m²]:[C4/m²]]),0))
))</f>
        <v>-9.9551249999999989</v>
      </c>
      <c r="BN24" s="141">
        <f>IF(BN$2&gt;Input_Tidshorisont,BlankTegn,IF(BN$2=0,SUM(Materialedata[[#This Row],[A1-A3/m²]:[A4/m²]]),
BM24+IF(BN$2=Input_Tidshorisont,SUM(Materialedata[[#This Row],[C3/m²]:[C4/m²]]),IF(MOD(BN$2,Materialedata[[#This Row],[Levetid]])=0,SUM(Materialedata[[#This Row],[A1-A3/m²]:[C4/m²]]),0))
))</f>
        <v>-9.9551249999999989</v>
      </c>
      <c r="BO24" s="141">
        <f>IF(BO$2&gt;Input_Tidshorisont,BlankTegn,IF(BO$2=0,SUM(Materialedata[[#This Row],[A1-A3/m²]:[A4/m²]]),
BN24+IF(BO$2=Input_Tidshorisont,SUM(Materialedata[[#This Row],[C3/m²]:[C4/m²]]),IF(MOD(BO$2,Materialedata[[#This Row],[Levetid]])=0,SUM(Materialedata[[#This Row],[A1-A3/m²]:[C4/m²]]),0))
))</f>
        <v>-9.9551249999999989</v>
      </c>
      <c r="BP24" s="141">
        <f>IF(BP$2&gt;Input_Tidshorisont,BlankTegn,IF(BP$2=0,SUM(Materialedata[[#This Row],[A1-A3/m²]:[A4/m²]]),
BO24+IF(BP$2=Input_Tidshorisont,SUM(Materialedata[[#This Row],[C3/m²]:[C4/m²]]),IF(MOD(BP$2,Materialedata[[#This Row],[Levetid]])=0,SUM(Materialedata[[#This Row],[A1-A3/m²]:[C4/m²]]),0))
))</f>
        <v>-9.9551249999999989</v>
      </c>
      <c r="BQ24" s="141">
        <f>IF(BQ$2&gt;Input_Tidshorisont,BlankTegn,IF(BQ$2=0,SUM(Materialedata[[#This Row],[A1-A3/m²]:[A4/m²]]),
BP24+IF(BQ$2=Input_Tidshorisont,SUM(Materialedata[[#This Row],[C3/m²]:[C4/m²]]),IF(MOD(BQ$2,Materialedata[[#This Row],[Levetid]])=0,SUM(Materialedata[[#This Row],[A1-A3/m²]:[C4/m²]]),0))
))</f>
        <v>-9.9551249999999989</v>
      </c>
      <c r="BR24" s="141">
        <f>IF(BR$2&gt;Input_Tidshorisont,BlankTegn,IF(BR$2=0,SUM(Materialedata[[#This Row],[A1-A3/m²]:[A4/m²]]),
BQ24+IF(BR$2=Input_Tidshorisont,SUM(Materialedata[[#This Row],[C3/m²]:[C4/m²]]),IF(MOD(BR$2,Materialedata[[#This Row],[Levetid]])=0,SUM(Materialedata[[#This Row],[A1-A3/m²]:[C4/m²]]),0))
))</f>
        <v>-9.9551249999999989</v>
      </c>
      <c r="BS24" s="141">
        <f>IF(BS$2&gt;Input_Tidshorisont,BlankTegn,IF(BS$2=0,SUM(Materialedata[[#This Row],[A1-A3/m²]:[A4/m²]]),
BR24+IF(BS$2=Input_Tidshorisont,SUM(Materialedata[[#This Row],[C3/m²]:[C4/m²]]),IF(MOD(BS$2,Materialedata[[#This Row],[Levetid]])=0,SUM(Materialedata[[#This Row],[A1-A3/m²]:[C4/m²]]),0))
))</f>
        <v>-9.9551249999999989</v>
      </c>
      <c r="BT24" s="141">
        <f>IF(BT$2&gt;Input_Tidshorisont,BlankTegn,IF(BT$2=0,SUM(Materialedata[[#This Row],[A1-A3/m²]:[A4/m²]]),
BS24+IF(BT$2=Input_Tidshorisont,SUM(Materialedata[[#This Row],[C3/m²]:[C4/m²]]),IF(MOD(BT$2,Materialedata[[#This Row],[Levetid]])=0,SUM(Materialedata[[#This Row],[A1-A3/m²]:[C4/m²]]),0))
))</f>
        <v>-9.9551249999999989</v>
      </c>
      <c r="BU24" s="141">
        <f>IF(BU$2&gt;Input_Tidshorisont,BlankTegn,IF(BU$2=0,SUM(Materialedata[[#This Row],[A1-A3/m²]:[A4/m²]]),
BT24+IF(BU$2=Input_Tidshorisont,SUM(Materialedata[[#This Row],[C3/m²]:[C4/m²]]),IF(MOD(BU$2,Materialedata[[#This Row],[Levetid]])=0,SUM(Materialedata[[#This Row],[A1-A3/m²]:[C4/m²]]),0))
))</f>
        <v>-9.9551249999999989</v>
      </c>
      <c r="BV24" s="141">
        <f>IF(BV$2&gt;Input_Tidshorisont,BlankTegn,IF(BV$2=0,SUM(Materialedata[[#This Row],[A1-A3/m²]:[A4/m²]]),
BU24+IF(BV$2=Input_Tidshorisont,SUM(Materialedata[[#This Row],[C3/m²]:[C4/m²]]),IF(MOD(BV$2,Materialedata[[#This Row],[Levetid]])=0,SUM(Materialedata[[#This Row],[A1-A3/m²]:[C4/m²]]),0))
))</f>
        <v>-9.9551249999999989</v>
      </c>
      <c r="BW24" s="141">
        <f>IF(BW$2&gt;Input_Tidshorisont,BlankTegn,IF(BW$2=0,SUM(Materialedata[[#This Row],[A1-A3/m²]:[A4/m²]]),
BV24+IF(BW$2=Input_Tidshorisont,SUM(Materialedata[[#This Row],[C3/m²]:[C4/m²]]),IF(MOD(BW$2,Materialedata[[#This Row],[Levetid]])=0,SUM(Materialedata[[#This Row],[A1-A3/m²]:[C4/m²]]),0))
))</f>
        <v>-9.9551249999999989</v>
      </c>
      <c r="BX24" s="141">
        <f>IF(BX$2&gt;Input_Tidshorisont,BlankTegn,IF(BX$2=0,SUM(Materialedata[[#This Row],[A1-A3/m²]:[A4/m²]]),
BW24+IF(BX$2=Input_Tidshorisont,SUM(Materialedata[[#This Row],[C3/m²]:[C4/m²]]),IF(MOD(BX$2,Materialedata[[#This Row],[Levetid]])=0,SUM(Materialedata[[#This Row],[A1-A3/m²]:[C4/m²]]),0))
))</f>
        <v>-9.9551249999999989</v>
      </c>
      <c r="BY24" s="141">
        <f>IF(BY$2&gt;Input_Tidshorisont,BlankTegn,IF(BY$2=0,SUM(Materialedata[[#This Row],[A1-A3/m²]:[A4/m²]]),
BX24+IF(BY$2=Input_Tidshorisont,SUM(Materialedata[[#This Row],[C3/m²]:[C4/m²]]),IF(MOD(BY$2,Materialedata[[#This Row],[Levetid]])=0,SUM(Materialedata[[#This Row],[A1-A3/m²]:[C4/m²]]),0))
))</f>
        <v>-9.9551249999999989</v>
      </c>
      <c r="BZ24" s="141">
        <f>IF(BZ$2&gt;Input_Tidshorisont,BlankTegn,IF(BZ$2=0,SUM(Materialedata[[#This Row],[A1-A3/m²]:[A4/m²]]),
BY24+IF(BZ$2=Input_Tidshorisont,SUM(Materialedata[[#This Row],[C3/m²]:[C4/m²]]),IF(MOD(BZ$2,Materialedata[[#This Row],[Levetid]])=0,SUM(Materialedata[[#This Row],[A1-A3/m²]:[C4/m²]]),0))
))</f>
        <v>-9.9551249999999989</v>
      </c>
      <c r="CA24" s="141">
        <f>IF(CA$2&gt;Input_Tidshorisont,BlankTegn,IF(CA$2=0,SUM(Materialedata[[#This Row],[A1-A3/m²]:[A4/m²]]),
BZ24+IF(CA$2=Input_Tidshorisont,SUM(Materialedata[[#This Row],[C3/m²]:[C4/m²]]),IF(MOD(CA$2,Materialedata[[#This Row],[Levetid]])=0,SUM(Materialedata[[#This Row],[A1-A3/m²]:[C4/m²]]),0))
))</f>
        <v>-9.9551249999999989</v>
      </c>
      <c r="CB24" s="141">
        <f>IF(CB$2&gt;Input_Tidshorisont,BlankTegn,IF(CB$2=0,SUM(Materialedata[[#This Row],[A1-A3/m²]:[A4/m²]]),
CA24+IF(CB$2=Input_Tidshorisont,SUM(Materialedata[[#This Row],[C3/m²]:[C4/m²]]),IF(MOD(CB$2,Materialedata[[#This Row],[Levetid]])=0,SUM(Materialedata[[#This Row],[A1-A3/m²]:[C4/m²]]),0))
))</f>
        <v>-9.9551249999999989</v>
      </c>
      <c r="CC24" s="141">
        <f>IF(CC$2&gt;Input_Tidshorisont,BlankTegn,IF(CC$2=0,SUM(Materialedata[[#This Row],[A1-A3/m²]:[A4/m²]]),
CB24+IF(CC$2=Input_Tidshorisont,SUM(Materialedata[[#This Row],[C3/m²]:[C4/m²]]),IF(MOD(CC$2,Materialedata[[#This Row],[Levetid]])=0,SUM(Materialedata[[#This Row],[A1-A3/m²]:[C4/m²]]),0))
))</f>
        <v>-9.9551249999999989</v>
      </c>
      <c r="CD24" s="141">
        <f>IF(CD$2&gt;Input_Tidshorisont,BlankTegn,IF(CD$2=0,SUM(Materialedata[[#This Row],[A1-A3/m²]:[A4/m²]]),
CC24+IF(CD$2=Input_Tidshorisont,SUM(Materialedata[[#This Row],[C3/m²]:[C4/m²]]),IF(MOD(CD$2,Materialedata[[#This Row],[Levetid]])=0,SUM(Materialedata[[#This Row],[A1-A3/m²]:[C4/m²]]),0))
))</f>
        <v>-9.9551249999999989</v>
      </c>
      <c r="CE24" s="141">
        <f>IF(CE$2&gt;Input_Tidshorisont,BlankTegn,IF(CE$2=0,SUM(Materialedata[[#This Row],[A1-A3/m²]:[A4/m²]]),
CD24+IF(CE$2=Input_Tidshorisont,SUM(Materialedata[[#This Row],[C3/m²]:[C4/m²]]),IF(MOD(CE$2,Materialedata[[#This Row],[Levetid]])=0,SUM(Materialedata[[#This Row],[A1-A3/m²]:[C4/m²]]),0))
))</f>
        <v>-9.9551249999999989</v>
      </c>
      <c r="CF24" s="141">
        <f>IF(CF$2&gt;Input_Tidshorisont,BlankTegn,IF(CF$2=0,SUM(Materialedata[[#This Row],[A1-A3/m²]:[A4/m²]]),
CE24+IF(CF$2=Input_Tidshorisont,SUM(Materialedata[[#This Row],[C3/m²]:[C4/m²]]),IF(MOD(CF$2,Materialedata[[#This Row],[Levetid]])=0,SUM(Materialedata[[#This Row],[A1-A3/m²]:[C4/m²]]),0))
))</f>
        <v>-9.9551249999999989</v>
      </c>
      <c r="CG24" s="141">
        <f>IF(CG$2&gt;Input_Tidshorisont,BlankTegn,IF(CG$2=0,SUM(Materialedata[[#This Row],[A1-A3/m²]:[A4/m²]]),
CF24+IF(CG$2=Input_Tidshorisont,SUM(Materialedata[[#This Row],[C3/m²]:[C4/m²]]),IF(MOD(CG$2,Materialedata[[#This Row],[Levetid]])=0,SUM(Materialedata[[#This Row],[A1-A3/m²]:[C4/m²]]),0))
))</f>
        <v>-9.9551249999999989</v>
      </c>
      <c r="CH24" s="141">
        <f>IF(CH$2&gt;Input_Tidshorisont,BlankTegn,IF(CH$2=0,SUM(Materialedata[[#This Row],[A1-A3/m²]:[A4/m²]]),
CG24+IF(CH$2=Input_Tidshorisont,SUM(Materialedata[[#This Row],[C3/m²]:[C4/m²]]),IF(MOD(CH$2,Materialedata[[#This Row],[Levetid]])=0,SUM(Materialedata[[#This Row],[A1-A3/m²]:[C4/m²]]),0))
))</f>
        <v>0.91987500000000111</v>
      </c>
      <c r="CI24" s="141" t="str">
        <f>IF(CI$2&gt;Input_Tidshorisont,BlankTegn,IF(CI$2=0,SUM(Materialedata[[#This Row],[A1-A3/m²]:[A4/m²]]),
CH24+IF(CI$2=Input_Tidshorisont,SUM(Materialedata[[#This Row],[C3/m²]:[C4/m²]]),IF(MOD(CI$2,Materialedata[[#This Row],[Levetid]])=0,SUM(Materialedata[[#This Row],[A1-A3/m²]:[C4/m²]]),0))
))</f>
        <v>.</v>
      </c>
      <c r="CJ24" s="141" t="str">
        <f>IF(CJ$2&gt;Input_Tidshorisont,BlankTegn,IF(CJ$2=0,SUM(Materialedata[[#This Row],[A1-A3/m²]:[A4/m²]]),
CI24+IF(CJ$2=Input_Tidshorisont,SUM(Materialedata[[#This Row],[C3/m²]:[C4/m²]]),IF(MOD(CJ$2,Materialedata[[#This Row],[Levetid]])=0,SUM(Materialedata[[#This Row],[A1-A3/m²]:[C4/m²]]),0))
))</f>
        <v>.</v>
      </c>
      <c r="CK24" s="141" t="str">
        <f>IF(CK$2&gt;Input_Tidshorisont,BlankTegn,IF(CK$2=0,SUM(Materialedata[[#This Row],[A1-A3/m²]:[A4/m²]]),
CJ24+IF(CK$2=Input_Tidshorisont,SUM(Materialedata[[#This Row],[C3/m²]:[C4/m²]]),IF(MOD(CK$2,Materialedata[[#This Row],[Levetid]])=0,SUM(Materialedata[[#This Row],[A1-A3/m²]:[C4/m²]]),0))
))</f>
        <v>.</v>
      </c>
      <c r="CL24" s="141" t="str">
        <f>IF(CL$2&gt;Input_Tidshorisont,BlankTegn,IF(CL$2=0,SUM(Materialedata[[#This Row],[A1-A3/m²]:[A4/m²]]),
CK24+IF(CL$2=Input_Tidshorisont,SUM(Materialedata[[#This Row],[C3/m²]:[C4/m²]]),IF(MOD(CL$2,Materialedata[[#This Row],[Levetid]])=0,SUM(Materialedata[[#This Row],[A1-A3/m²]:[C4/m²]]),0))
))</f>
        <v>.</v>
      </c>
      <c r="CM24" s="141" t="str">
        <f>IF(CM$2&gt;Input_Tidshorisont,BlankTegn,IF(CM$2=0,SUM(Materialedata[[#This Row],[A1-A3/m²]:[A4/m²]]),
CL24+IF(CM$2=Input_Tidshorisont,SUM(Materialedata[[#This Row],[C3/m²]:[C4/m²]]),IF(MOD(CM$2,Materialedata[[#This Row],[Levetid]])=0,SUM(Materialedata[[#This Row],[A1-A3/m²]:[C4/m²]]),0))
))</f>
        <v>.</v>
      </c>
      <c r="CN24" s="141" t="str">
        <f>IF(CN$2&gt;Input_Tidshorisont,BlankTegn,IF(CN$2=0,SUM(Materialedata[[#This Row],[A1-A3/m²]:[A4/m²]]),
CM24+IF(CN$2=Input_Tidshorisont,SUM(Materialedata[[#This Row],[C3/m²]:[C4/m²]]),IF(MOD(CN$2,Materialedata[[#This Row],[Levetid]])=0,SUM(Materialedata[[#This Row],[A1-A3/m²]:[C4/m²]]),0))
))</f>
        <v>.</v>
      </c>
      <c r="CO24" s="141" t="str">
        <f>IF(CO$2&gt;Input_Tidshorisont,BlankTegn,IF(CO$2=0,SUM(Materialedata[[#This Row],[A1-A3/m²]:[A4/m²]]),
CN24+IF(CO$2=Input_Tidshorisont,SUM(Materialedata[[#This Row],[C3/m²]:[C4/m²]]),IF(MOD(CO$2,Materialedata[[#This Row],[Levetid]])=0,SUM(Materialedata[[#This Row],[A1-A3/m²]:[C4/m²]]),0))
))</f>
        <v>.</v>
      </c>
      <c r="CP24" s="141" t="str">
        <f>IF(CP$2&gt;Input_Tidshorisont,BlankTegn,IF(CP$2=0,SUM(Materialedata[[#This Row],[A1-A3/m²]:[A4/m²]]),
CO24+IF(CP$2=Input_Tidshorisont,SUM(Materialedata[[#This Row],[C3/m²]:[C4/m²]]),IF(MOD(CP$2,Materialedata[[#This Row],[Levetid]])=0,SUM(Materialedata[[#This Row],[A1-A3/m²]:[C4/m²]]),0))
))</f>
        <v>.</v>
      </c>
      <c r="CQ24" s="141" t="str">
        <f>IF(CQ$2&gt;Input_Tidshorisont,BlankTegn,IF(CQ$2=0,SUM(Materialedata[[#This Row],[A1-A3/m²]:[A4/m²]]),
CP24+IF(CQ$2=Input_Tidshorisont,SUM(Materialedata[[#This Row],[C3/m²]:[C4/m²]]),IF(MOD(CQ$2,Materialedata[[#This Row],[Levetid]])=0,SUM(Materialedata[[#This Row],[A1-A3/m²]:[C4/m²]]),0))
))</f>
        <v>.</v>
      </c>
      <c r="CR24" s="141" t="str">
        <f>IF(CR$2&gt;Input_Tidshorisont,BlankTegn,IF(CR$2=0,SUM(Materialedata[[#This Row],[A1-A3/m²]:[A4/m²]]),
CQ24+IF(CR$2=Input_Tidshorisont,SUM(Materialedata[[#This Row],[C3/m²]:[C4/m²]]),IF(MOD(CR$2,Materialedata[[#This Row],[Levetid]])=0,SUM(Materialedata[[#This Row],[A1-A3/m²]:[C4/m²]]),0))
))</f>
        <v>.</v>
      </c>
      <c r="CS24" s="141" t="str">
        <f>IF(CS$2&gt;Input_Tidshorisont,BlankTegn,IF(CS$2=0,SUM(Materialedata[[#This Row],[A1-A3/m²]:[A4/m²]]),
CR24+IF(CS$2=Input_Tidshorisont,SUM(Materialedata[[#This Row],[C3/m²]:[C4/m²]]),IF(MOD(CS$2,Materialedata[[#This Row],[Levetid]])=0,SUM(Materialedata[[#This Row],[A1-A3/m²]:[C4/m²]]),0))
))</f>
        <v>.</v>
      </c>
      <c r="CT24" s="141" t="str">
        <f>IF(CT$2&gt;Input_Tidshorisont,BlankTegn,IF(CT$2=0,SUM(Materialedata[[#This Row],[A1-A3/m²]:[A4/m²]]),
CS24+IF(CT$2=Input_Tidshorisont,SUM(Materialedata[[#This Row],[C3/m²]:[C4/m²]]),IF(MOD(CT$2,Materialedata[[#This Row],[Levetid]])=0,SUM(Materialedata[[#This Row],[A1-A3/m²]:[C4/m²]]),0))
))</f>
        <v>.</v>
      </c>
      <c r="CU24" s="141" t="str">
        <f>IF(CU$2&gt;Input_Tidshorisont,BlankTegn,IF(CU$2=0,SUM(Materialedata[[#This Row],[A1-A3/m²]:[A4/m²]]),
CT24+IF(CU$2=Input_Tidshorisont,SUM(Materialedata[[#This Row],[C3/m²]:[C4/m²]]),IF(MOD(CU$2,Materialedata[[#This Row],[Levetid]])=0,SUM(Materialedata[[#This Row],[A1-A3/m²]:[C4/m²]]),0))
))</f>
        <v>.</v>
      </c>
      <c r="CV24" s="141" t="str">
        <f>IF(CV$2&gt;Input_Tidshorisont,BlankTegn,IF(CV$2=0,SUM(Materialedata[[#This Row],[A1-A3/m²]:[A4/m²]]),
CU24+IF(CV$2=Input_Tidshorisont,SUM(Materialedata[[#This Row],[C3/m²]:[C4/m²]]),IF(MOD(CV$2,Materialedata[[#This Row],[Levetid]])=0,SUM(Materialedata[[#This Row],[A1-A3/m²]:[C4/m²]]),0))
))</f>
        <v>.</v>
      </c>
      <c r="CW24" s="141" t="str">
        <f>IF(CW$2&gt;Input_Tidshorisont,BlankTegn,IF(CW$2=0,SUM(Materialedata[[#This Row],[A1-A3/m²]:[A4/m²]]),
CV24+IF(CW$2=Input_Tidshorisont,SUM(Materialedata[[#This Row],[C3/m²]:[C4/m²]]),IF(MOD(CW$2,Materialedata[[#This Row],[Levetid]])=0,SUM(Materialedata[[#This Row],[A1-A3/m²]:[C4/m²]]),0))
))</f>
        <v>.</v>
      </c>
      <c r="CX24" s="141" t="str">
        <f>IF(CX$2&gt;Input_Tidshorisont,BlankTegn,IF(CX$2=0,SUM(Materialedata[[#This Row],[A1-A3/m²]:[A4/m²]]),
CW24+IF(CX$2=Input_Tidshorisont,SUM(Materialedata[[#This Row],[C3/m²]:[C4/m²]]),IF(MOD(CX$2,Materialedata[[#This Row],[Levetid]])=0,SUM(Materialedata[[#This Row],[A1-A3/m²]:[C4/m²]]),0))
))</f>
        <v>.</v>
      </c>
      <c r="CY24" s="141" t="str">
        <f>IF(CY$2&gt;Input_Tidshorisont,BlankTegn,IF(CY$2=0,SUM(Materialedata[[#This Row],[A1-A3/m²]:[A4/m²]]),
CX24+IF(CY$2=Input_Tidshorisont,SUM(Materialedata[[#This Row],[C3/m²]:[C4/m²]]),IF(MOD(CY$2,Materialedata[[#This Row],[Levetid]])=0,SUM(Materialedata[[#This Row],[A1-A3/m²]:[C4/m²]]),0))
))</f>
        <v>.</v>
      </c>
      <c r="CZ24" s="141" t="str">
        <f>IF(CZ$2&gt;Input_Tidshorisont,BlankTegn,IF(CZ$2=0,SUM(Materialedata[[#This Row],[A1-A3/m²]:[A4/m²]]),
CY24+IF(CZ$2=Input_Tidshorisont,SUM(Materialedata[[#This Row],[C3/m²]:[C4/m²]]),IF(MOD(CZ$2,Materialedata[[#This Row],[Levetid]])=0,SUM(Materialedata[[#This Row],[A1-A3/m²]:[C4/m²]]),0))
))</f>
        <v>.</v>
      </c>
      <c r="DA24" s="141" t="str">
        <f>IF(DA$2&gt;Input_Tidshorisont,BlankTegn,IF(DA$2=0,SUM(Materialedata[[#This Row],[A1-A3/m²]:[A4/m²]]),
CZ24+IF(DA$2=Input_Tidshorisont,SUM(Materialedata[[#This Row],[C3/m²]:[C4/m²]]),IF(MOD(DA$2,Materialedata[[#This Row],[Levetid]])=0,SUM(Materialedata[[#This Row],[A1-A3/m²]:[C4/m²]]),0))
))</f>
        <v>.</v>
      </c>
      <c r="DB24" s="141" t="str">
        <f>IF(DB$2&gt;Input_Tidshorisont,BlankTegn,IF(DB$2=0,SUM(Materialedata[[#This Row],[A1-A3/m²]:[A4/m²]]),
DA24+IF(DB$2=Input_Tidshorisont,SUM(Materialedata[[#This Row],[C3/m²]:[C4/m²]]),IF(MOD(DB$2,Materialedata[[#This Row],[Levetid]])=0,SUM(Materialedata[[#This Row],[A1-A3/m²]:[C4/m²]]),0))
))</f>
        <v>.</v>
      </c>
      <c r="DC24" s="141" t="str">
        <f>IF(DC$2&gt;Input_Tidshorisont,BlankTegn,IF(DC$2=0,SUM(Materialedata[[#This Row],[A1-A3/m²]:[A4/m²]]),
DB24+IF(DC$2=Input_Tidshorisont,SUM(Materialedata[[#This Row],[C3/m²]:[C4/m²]]),IF(MOD(DC$2,Materialedata[[#This Row],[Levetid]])=0,SUM(Materialedata[[#This Row],[A1-A3/m²]:[C4/m²]]),0))
))</f>
        <v>.</v>
      </c>
      <c r="DD24" s="141" t="str">
        <f>IF(DD$2&gt;Input_Tidshorisont,BlankTegn,IF(DD$2=0,SUM(Materialedata[[#This Row],[A1-A3/m²]:[A4/m²]]),
DC24+IF(DD$2=Input_Tidshorisont,SUM(Materialedata[[#This Row],[C3/m²]:[C4/m²]]),IF(MOD(DD$2,Materialedata[[#This Row],[Levetid]])=0,SUM(Materialedata[[#This Row],[A1-A3/m²]:[C4/m²]]),0))
))</f>
        <v>.</v>
      </c>
      <c r="DE24" s="141" t="str">
        <f>IF(DE$2&gt;Input_Tidshorisont,BlankTegn,IF(DE$2=0,SUM(Materialedata[[#This Row],[A1-A3/m²]:[A4/m²]]),
DD24+IF(DE$2=Input_Tidshorisont,SUM(Materialedata[[#This Row],[C3/m²]:[C4/m²]]),IF(MOD(DE$2,Materialedata[[#This Row],[Levetid]])=0,SUM(Materialedata[[#This Row],[A1-A3/m²]:[C4/m²]]),0))
))</f>
        <v>.</v>
      </c>
      <c r="DF24" s="141" t="str">
        <f>IF(DF$2&gt;Input_Tidshorisont,BlankTegn,IF(DF$2=0,SUM(Materialedata[[#This Row],[A1-A3/m²]:[A4/m²]]),
DE24+IF(DF$2=Input_Tidshorisont,SUM(Materialedata[[#This Row],[C3/m²]:[C4/m²]]),IF(MOD(DF$2,Materialedata[[#This Row],[Levetid]])=0,SUM(Materialedata[[#This Row],[A1-A3/m²]:[C4/m²]]),0))
))</f>
        <v>.</v>
      </c>
      <c r="DG24" s="141" t="str">
        <f>IF(DG$2&gt;Input_Tidshorisont,BlankTegn,IF(DG$2=0,SUM(Materialedata[[#This Row],[A1-A3/m²]:[A4/m²]]),
DF24+IF(DG$2=Input_Tidshorisont,SUM(Materialedata[[#This Row],[C3/m²]:[C4/m²]]),IF(MOD(DG$2,Materialedata[[#This Row],[Levetid]])=0,SUM(Materialedata[[#This Row],[A1-A3/m²]:[C4/m²]]),0))
))</f>
        <v>.</v>
      </c>
      <c r="DH24" s="141" t="str">
        <f>IF(DH$2&gt;Input_Tidshorisont,BlankTegn,IF(DH$2=0,SUM(Materialedata[[#This Row],[A1-A3/m²]:[A4/m²]]),
DG24+IF(DH$2=Input_Tidshorisont,SUM(Materialedata[[#This Row],[C3/m²]:[C4/m²]]),IF(MOD(DH$2,Materialedata[[#This Row],[Levetid]])=0,SUM(Materialedata[[#This Row],[A1-A3/m²]:[C4/m²]]),0))
))</f>
        <v>.</v>
      </c>
      <c r="DI24" s="141" t="str">
        <f>IF(DI$2&gt;Input_Tidshorisont,BlankTegn,IF(DI$2=0,SUM(Materialedata[[#This Row],[A1-A3/m²]:[A4/m²]]),
DH24+IF(DI$2=Input_Tidshorisont,SUM(Materialedata[[#This Row],[C3/m²]:[C4/m²]]),IF(MOD(DI$2,Materialedata[[#This Row],[Levetid]])=0,SUM(Materialedata[[#This Row],[A1-A3/m²]:[C4/m²]]),0))
))</f>
        <v>.</v>
      </c>
      <c r="DJ24" s="141" t="str">
        <f>IF(DJ$2&gt;Input_Tidshorisont,BlankTegn,IF(DJ$2=0,SUM(Materialedata[[#This Row],[A1-A3/m²]:[A4/m²]]),
DI24+IF(DJ$2=Input_Tidshorisont,SUM(Materialedata[[#This Row],[C3/m²]:[C4/m²]]),IF(MOD(DJ$2,Materialedata[[#This Row],[Levetid]])=0,SUM(Materialedata[[#This Row],[A1-A3/m²]:[C4/m²]]),0))
))</f>
        <v>.</v>
      </c>
      <c r="DK24" s="141" t="str">
        <f>IF(DK$2&gt;Input_Tidshorisont,BlankTegn,IF(DK$2=0,SUM(Materialedata[[#This Row],[A1-A3/m²]:[A4/m²]]),
DJ24+IF(DK$2=Input_Tidshorisont,SUM(Materialedata[[#This Row],[C3/m²]:[C4/m²]]),IF(MOD(DK$2,Materialedata[[#This Row],[Levetid]])=0,SUM(Materialedata[[#This Row],[A1-A3/m²]:[C4/m²]]),0))
))</f>
        <v>.</v>
      </c>
      <c r="DL24" s="141" t="str">
        <f>IF(DL$2&gt;Input_Tidshorisont,BlankTegn,IF(DL$2=0,SUM(Materialedata[[#This Row],[A1-A3/m²]:[A4/m²]]),
DK24+IF(DL$2=Input_Tidshorisont,SUM(Materialedata[[#This Row],[C3/m²]:[C4/m²]]),IF(MOD(DL$2,Materialedata[[#This Row],[Levetid]])=0,SUM(Materialedata[[#This Row],[A1-A3/m²]:[C4/m²]]),0))
))</f>
        <v>.</v>
      </c>
      <c r="DM24" s="19"/>
    </row>
    <row r="25" spans="1:117">
      <c r="A25" s="182" t="s">
        <v>248</v>
      </c>
      <c r="B25" s="182" t="s">
        <v>161</v>
      </c>
      <c r="C25" s="148" t="s">
        <v>162</v>
      </c>
      <c r="D25" s="184"/>
      <c r="E25" s="180" t="s">
        <v>276</v>
      </c>
      <c r="F25" s="182" t="s">
        <v>300</v>
      </c>
      <c r="G25" s="182">
        <v>60</v>
      </c>
      <c r="H25" s="183">
        <v>35</v>
      </c>
      <c r="I25" s="184">
        <f>0.1*1*1</f>
        <v>0.1</v>
      </c>
      <c r="J25" s="184" t="s">
        <v>232</v>
      </c>
      <c r="K25" s="182">
        <v>-6.81</v>
      </c>
      <c r="L25" s="182" t="s">
        <v>97</v>
      </c>
      <c r="M25" s="185">
        <f>IF(ISBLANK(Materialedata[[#This Row],[A4-gruppe]]),BlankTegn,INDEX(Byggeproces[GWP],MATCH(Materialedata[[#This Row],[A4-gruppe]],Byggeproces[Gruppe/Undergruppe],0)))</f>
        <v>4.9500000000000002E-2</v>
      </c>
      <c r="N25" s="182">
        <v>7.08</v>
      </c>
      <c r="O25" s="182">
        <v>0.17</v>
      </c>
      <c r="P25" s="182">
        <v>2.57</v>
      </c>
      <c r="Q25" s="277">
        <f>Materialedata[[#This Row],[A1-A3/standardenhed]]</f>
        <v>-6.81</v>
      </c>
      <c r="R25" s="278" cm="1">
        <f t="array" ref="R25">IFERROR(_xlfn.IFS(Materialedata[[#This Row],[Mængde-enhed]]="kg/m²",Materialedata[[#This Row],[A4/kg]]*Materialedata[[#This Row],[Mængde/m²]],Materialedata[[#This Row],[Mængde-enhed]]="m³/m²",Materialedata[[#This Row],[A4/kg]]*Materialedata[[#This Row],[Mængde/m²]]*Materialedata[[#This Row],[Densitet]]),"N/A")</f>
        <v>0.17325000000000002</v>
      </c>
      <c r="S25" s="277">
        <f>Materialedata[[#This Row],[C3/enhed]]</f>
        <v>7.08</v>
      </c>
      <c r="T25" s="277">
        <f>Materialedata[[#This Row],[C4/enhed]]</f>
        <v>0.17</v>
      </c>
      <c r="U25" s="277">
        <f>Materialedata[[#This Row],[D/enhed]]</f>
        <v>2.57</v>
      </c>
      <c r="V25" s="150">
        <f>IFERROR(INDEX(Range_Materiale_Genbrug,MATCH(Materialedata[[#This Row],[Komponent]],Facadekomponenter,0)),BlankTegn)</f>
        <v>0</v>
      </c>
      <c r="W25" s="150">
        <f>IFERROR(1-Materialedata[[#This Row],[Genbrug]],BlankTegn)</f>
        <v>1</v>
      </c>
      <c r="X25" s="186">
        <f>IFERROR(Materialedata[[#This Row],[A1-A3/m²_nyt]]*Materialedata[[#This Row],[Nyt]],BlankTegn)</f>
        <v>-6.81</v>
      </c>
      <c r="Y25" s="186">
        <f>Materialedata[[#This Row],[A4/m²_nyt]]</f>
        <v>0.17325000000000002</v>
      </c>
      <c r="Z25" s="186">
        <f>IFERROR(Materialedata[[#This Row],[C3/m²_nyt]]*Materialedata[[#This Row],[Nyt]],BlankTegn)</f>
        <v>7.08</v>
      </c>
      <c r="AA25" s="186">
        <f>IFERROR(Materialedata[[#This Row],[C4/m²_nyt]]*Materialedata[[#This Row],[Nyt]],BlankTegn)</f>
        <v>0.17</v>
      </c>
      <c r="AB25" s="186">
        <f>IFERROR(Materialedata[[#This Row],[D/m²_nyt]]*Materialedata[[#This Row],[Nyt]],BlankTegn)</f>
        <v>2.57</v>
      </c>
      <c r="AC25" s="187">
        <f>AC34*3</f>
        <v>259.20000000000005</v>
      </c>
      <c r="AD25" s="188" t="s">
        <v>29</v>
      </c>
      <c r="AE25" s="182">
        <v>1</v>
      </c>
      <c r="AF25" s="189">
        <f>Materialedata[[#This Row],[Pris/enhed]]*Materialedata[[#This Row],[Omregning]]</f>
        <v>259.20000000000005</v>
      </c>
      <c r="AG25" s="190">
        <v>0.02</v>
      </c>
      <c r="AH25" s="191">
        <v>1</v>
      </c>
      <c r="AI25" s="162">
        <v>0</v>
      </c>
      <c r="AJ25" s="141">
        <f>IF(AJ$2&gt;Input_Tidshorisont,BlankTegn,IF(AJ$2=0,SUM(Materialedata[[#This Row],[A1-A3/m²]:[A4/m²]]),
AI25+IF(AJ$2=Input_Tidshorisont,SUM(Materialedata[[#This Row],[C3/m²]:[C4/m²]]),IF(MOD(AJ$2,Materialedata[[#This Row],[Levetid]])=0,SUM(Materialedata[[#This Row],[A1-A3/m²]:[C4/m²]]),0))
))</f>
        <v>-6.6367499999999993</v>
      </c>
      <c r="AK25" s="141">
        <f>IF(AK$2&gt;Input_Tidshorisont,BlankTegn,IF(AK$2=0,SUM(Materialedata[[#This Row],[A1-A3/m²]:[A4/m²]]),
AJ25+IF(AK$2=Input_Tidshorisont,SUM(Materialedata[[#This Row],[C3/m²]:[C4/m²]]),IF(MOD(AK$2,Materialedata[[#This Row],[Levetid]])=0,SUM(Materialedata[[#This Row],[A1-A3/m²]:[C4/m²]]),0))
))</f>
        <v>-6.6367499999999993</v>
      </c>
      <c r="AL25" s="141">
        <f>IF(AL$2&gt;Input_Tidshorisont,BlankTegn,IF(AL$2=0,SUM(Materialedata[[#This Row],[A1-A3/m²]:[A4/m²]]),
AK25+IF(AL$2=Input_Tidshorisont,SUM(Materialedata[[#This Row],[C3/m²]:[C4/m²]]),IF(MOD(AL$2,Materialedata[[#This Row],[Levetid]])=0,SUM(Materialedata[[#This Row],[A1-A3/m²]:[C4/m²]]),0))
))</f>
        <v>-6.6367499999999993</v>
      </c>
      <c r="AM25" s="141">
        <f>IF(AM$2&gt;Input_Tidshorisont,BlankTegn,IF(AM$2=0,SUM(Materialedata[[#This Row],[A1-A3/m²]:[A4/m²]]),
AL25+IF(AM$2=Input_Tidshorisont,SUM(Materialedata[[#This Row],[C3/m²]:[C4/m²]]),IF(MOD(AM$2,Materialedata[[#This Row],[Levetid]])=0,SUM(Materialedata[[#This Row],[A1-A3/m²]:[C4/m²]]),0))
))</f>
        <v>-6.6367499999999993</v>
      </c>
      <c r="AN25" s="141">
        <f>IF(AN$2&gt;Input_Tidshorisont,BlankTegn,IF(AN$2=0,SUM(Materialedata[[#This Row],[A1-A3/m²]:[A4/m²]]),
AM25+IF(AN$2=Input_Tidshorisont,SUM(Materialedata[[#This Row],[C3/m²]:[C4/m²]]),IF(MOD(AN$2,Materialedata[[#This Row],[Levetid]])=0,SUM(Materialedata[[#This Row],[A1-A3/m²]:[C4/m²]]),0))
))</f>
        <v>-6.6367499999999993</v>
      </c>
      <c r="AO25" s="141">
        <f>IF(AO$2&gt;Input_Tidshorisont,BlankTegn,IF(AO$2=0,SUM(Materialedata[[#This Row],[A1-A3/m²]:[A4/m²]]),
AN25+IF(AO$2=Input_Tidshorisont,SUM(Materialedata[[#This Row],[C3/m²]:[C4/m²]]),IF(MOD(AO$2,Materialedata[[#This Row],[Levetid]])=0,SUM(Materialedata[[#This Row],[A1-A3/m²]:[C4/m²]]),0))
))</f>
        <v>-6.6367499999999993</v>
      </c>
      <c r="AP25" s="141">
        <f>IF(AP$2&gt;Input_Tidshorisont,BlankTegn,IF(AP$2=0,SUM(Materialedata[[#This Row],[A1-A3/m²]:[A4/m²]]),
AO25+IF(AP$2=Input_Tidshorisont,SUM(Materialedata[[#This Row],[C3/m²]:[C4/m²]]),IF(MOD(AP$2,Materialedata[[#This Row],[Levetid]])=0,SUM(Materialedata[[#This Row],[A1-A3/m²]:[C4/m²]]),0))
))</f>
        <v>-6.6367499999999993</v>
      </c>
      <c r="AQ25" s="141">
        <f>IF(AQ$2&gt;Input_Tidshorisont,BlankTegn,IF(AQ$2=0,SUM(Materialedata[[#This Row],[A1-A3/m²]:[A4/m²]]),
AP25+IF(AQ$2=Input_Tidshorisont,SUM(Materialedata[[#This Row],[C3/m²]:[C4/m²]]),IF(MOD(AQ$2,Materialedata[[#This Row],[Levetid]])=0,SUM(Materialedata[[#This Row],[A1-A3/m²]:[C4/m²]]),0))
))</f>
        <v>-6.6367499999999993</v>
      </c>
      <c r="AR25" s="141">
        <f>IF(AR$2&gt;Input_Tidshorisont,BlankTegn,IF(AR$2=0,SUM(Materialedata[[#This Row],[A1-A3/m²]:[A4/m²]]),
AQ25+IF(AR$2=Input_Tidshorisont,SUM(Materialedata[[#This Row],[C3/m²]:[C4/m²]]),IF(MOD(AR$2,Materialedata[[#This Row],[Levetid]])=0,SUM(Materialedata[[#This Row],[A1-A3/m²]:[C4/m²]]),0))
))</f>
        <v>-6.6367499999999993</v>
      </c>
      <c r="AS25" s="141">
        <f>IF(AS$2&gt;Input_Tidshorisont,BlankTegn,IF(AS$2=0,SUM(Materialedata[[#This Row],[A1-A3/m²]:[A4/m²]]),
AR25+IF(AS$2=Input_Tidshorisont,SUM(Materialedata[[#This Row],[C3/m²]:[C4/m²]]),IF(MOD(AS$2,Materialedata[[#This Row],[Levetid]])=0,SUM(Materialedata[[#This Row],[A1-A3/m²]:[C4/m²]]),0))
))</f>
        <v>-6.6367499999999993</v>
      </c>
      <c r="AT25" s="141">
        <f>IF(AT$2&gt;Input_Tidshorisont,BlankTegn,IF(AT$2=0,SUM(Materialedata[[#This Row],[A1-A3/m²]:[A4/m²]]),
AS25+IF(AT$2=Input_Tidshorisont,SUM(Materialedata[[#This Row],[C3/m²]:[C4/m²]]),IF(MOD(AT$2,Materialedata[[#This Row],[Levetid]])=0,SUM(Materialedata[[#This Row],[A1-A3/m²]:[C4/m²]]),0))
))</f>
        <v>-6.6367499999999993</v>
      </c>
      <c r="AU25" s="141">
        <f>IF(AU$2&gt;Input_Tidshorisont,BlankTegn,IF(AU$2=0,SUM(Materialedata[[#This Row],[A1-A3/m²]:[A4/m²]]),
AT25+IF(AU$2=Input_Tidshorisont,SUM(Materialedata[[#This Row],[C3/m²]:[C4/m²]]),IF(MOD(AU$2,Materialedata[[#This Row],[Levetid]])=0,SUM(Materialedata[[#This Row],[A1-A3/m²]:[C4/m²]]),0))
))</f>
        <v>-6.6367499999999993</v>
      </c>
      <c r="AV25" s="141">
        <f>IF(AV$2&gt;Input_Tidshorisont,BlankTegn,IF(AV$2=0,SUM(Materialedata[[#This Row],[A1-A3/m²]:[A4/m²]]),
AU25+IF(AV$2=Input_Tidshorisont,SUM(Materialedata[[#This Row],[C3/m²]:[C4/m²]]),IF(MOD(AV$2,Materialedata[[#This Row],[Levetid]])=0,SUM(Materialedata[[#This Row],[A1-A3/m²]:[C4/m²]]),0))
))</f>
        <v>-6.6367499999999993</v>
      </c>
      <c r="AW25" s="141">
        <f>IF(AW$2&gt;Input_Tidshorisont,BlankTegn,IF(AW$2=0,SUM(Materialedata[[#This Row],[A1-A3/m²]:[A4/m²]]),
AV25+IF(AW$2=Input_Tidshorisont,SUM(Materialedata[[#This Row],[C3/m²]:[C4/m²]]),IF(MOD(AW$2,Materialedata[[#This Row],[Levetid]])=0,SUM(Materialedata[[#This Row],[A1-A3/m²]:[C4/m²]]),0))
))</f>
        <v>-6.6367499999999993</v>
      </c>
      <c r="AX25" s="141">
        <f>IF(AX$2&gt;Input_Tidshorisont,BlankTegn,IF(AX$2=0,SUM(Materialedata[[#This Row],[A1-A3/m²]:[A4/m²]]),
AW25+IF(AX$2=Input_Tidshorisont,SUM(Materialedata[[#This Row],[C3/m²]:[C4/m²]]),IF(MOD(AX$2,Materialedata[[#This Row],[Levetid]])=0,SUM(Materialedata[[#This Row],[A1-A3/m²]:[C4/m²]]),0))
))</f>
        <v>-6.6367499999999993</v>
      </c>
      <c r="AY25" s="141">
        <f>IF(AY$2&gt;Input_Tidshorisont,BlankTegn,IF(AY$2=0,SUM(Materialedata[[#This Row],[A1-A3/m²]:[A4/m²]]),
AX25+IF(AY$2=Input_Tidshorisont,SUM(Materialedata[[#This Row],[C3/m²]:[C4/m²]]),IF(MOD(AY$2,Materialedata[[#This Row],[Levetid]])=0,SUM(Materialedata[[#This Row],[A1-A3/m²]:[C4/m²]]),0))
))</f>
        <v>-6.6367499999999993</v>
      </c>
      <c r="AZ25" s="141">
        <f>IF(AZ$2&gt;Input_Tidshorisont,BlankTegn,IF(AZ$2=0,SUM(Materialedata[[#This Row],[A1-A3/m²]:[A4/m²]]),
AY25+IF(AZ$2=Input_Tidshorisont,SUM(Materialedata[[#This Row],[C3/m²]:[C4/m²]]),IF(MOD(AZ$2,Materialedata[[#This Row],[Levetid]])=0,SUM(Materialedata[[#This Row],[A1-A3/m²]:[C4/m²]]),0))
))</f>
        <v>-6.6367499999999993</v>
      </c>
      <c r="BA25" s="141">
        <f>IF(BA$2&gt;Input_Tidshorisont,BlankTegn,IF(BA$2=0,SUM(Materialedata[[#This Row],[A1-A3/m²]:[A4/m²]]),
AZ25+IF(BA$2=Input_Tidshorisont,SUM(Materialedata[[#This Row],[C3/m²]:[C4/m²]]),IF(MOD(BA$2,Materialedata[[#This Row],[Levetid]])=0,SUM(Materialedata[[#This Row],[A1-A3/m²]:[C4/m²]]),0))
))</f>
        <v>-6.6367499999999993</v>
      </c>
      <c r="BB25" s="141">
        <f>IF(BB$2&gt;Input_Tidshorisont,BlankTegn,IF(BB$2=0,SUM(Materialedata[[#This Row],[A1-A3/m²]:[A4/m²]]),
BA25+IF(BB$2=Input_Tidshorisont,SUM(Materialedata[[#This Row],[C3/m²]:[C4/m²]]),IF(MOD(BB$2,Materialedata[[#This Row],[Levetid]])=0,SUM(Materialedata[[#This Row],[A1-A3/m²]:[C4/m²]]),0))
))</f>
        <v>-6.6367499999999993</v>
      </c>
      <c r="BC25" s="141">
        <f>IF(BC$2&gt;Input_Tidshorisont,BlankTegn,IF(BC$2=0,SUM(Materialedata[[#This Row],[A1-A3/m²]:[A4/m²]]),
BB25+IF(BC$2=Input_Tidshorisont,SUM(Materialedata[[#This Row],[C3/m²]:[C4/m²]]),IF(MOD(BC$2,Materialedata[[#This Row],[Levetid]])=0,SUM(Materialedata[[#This Row],[A1-A3/m²]:[C4/m²]]),0))
))</f>
        <v>-6.6367499999999993</v>
      </c>
      <c r="BD25" s="141">
        <f>IF(BD$2&gt;Input_Tidshorisont,BlankTegn,IF(BD$2=0,SUM(Materialedata[[#This Row],[A1-A3/m²]:[A4/m²]]),
BC25+IF(BD$2=Input_Tidshorisont,SUM(Materialedata[[#This Row],[C3/m²]:[C4/m²]]),IF(MOD(BD$2,Materialedata[[#This Row],[Levetid]])=0,SUM(Materialedata[[#This Row],[A1-A3/m²]:[C4/m²]]),0))
))</f>
        <v>-6.6367499999999993</v>
      </c>
      <c r="BE25" s="141">
        <f>IF(BE$2&gt;Input_Tidshorisont,BlankTegn,IF(BE$2=0,SUM(Materialedata[[#This Row],[A1-A3/m²]:[A4/m²]]),
BD25+IF(BE$2=Input_Tidshorisont,SUM(Materialedata[[#This Row],[C3/m²]:[C4/m²]]),IF(MOD(BE$2,Materialedata[[#This Row],[Levetid]])=0,SUM(Materialedata[[#This Row],[A1-A3/m²]:[C4/m²]]),0))
))</f>
        <v>-6.6367499999999993</v>
      </c>
      <c r="BF25" s="141">
        <f>IF(BF$2&gt;Input_Tidshorisont,BlankTegn,IF(BF$2=0,SUM(Materialedata[[#This Row],[A1-A3/m²]:[A4/m²]]),
BE25+IF(BF$2=Input_Tidshorisont,SUM(Materialedata[[#This Row],[C3/m²]:[C4/m²]]),IF(MOD(BF$2,Materialedata[[#This Row],[Levetid]])=0,SUM(Materialedata[[#This Row],[A1-A3/m²]:[C4/m²]]),0))
))</f>
        <v>-6.6367499999999993</v>
      </c>
      <c r="BG25" s="141">
        <f>IF(BG$2&gt;Input_Tidshorisont,BlankTegn,IF(BG$2=0,SUM(Materialedata[[#This Row],[A1-A3/m²]:[A4/m²]]),
BF25+IF(BG$2=Input_Tidshorisont,SUM(Materialedata[[#This Row],[C3/m²]:[C4/m²]]),IF(MOD(BG$2,Materialedata[[#This Row],[Levetid]])=0,SUM(Materialedata[[#This Row],[A1-A3/m²]:[C4/m²]]),0))
))</f>
        <v>-6.6367499999999993</v>
      </c>
      <c r="BH25" s="141">
        <f>IF(BH$2&gt;Input_Tidshorisont,BlankTegn,IF(BH$2=0,SUM(Materialedata[[#This Row],[A1-A3/m²]:[A4/m²]]),
BG25+IF(BH$2=Input_Tidshorisont,SUM(Materialedata[[#This Row],[C3/m²]:[C4/m²]]),IF(MOD(BH$2,Materialedata[[#This Row],[Levetid]])=0,SUM(Materialedata[[#This Row],[A1-A3/m²]:[C4/m²]]),0))
))</f>
        <v>-6.6367499999999993</v>
      </c>
      <c r="BI25" s="141">
        <f>IF(BI$2&gt;Input_Tidshorisont,BlankTegn,IF(BI$2=0,SUM(Materialedata[[#This Row],[A1-A3/m²]:[A4/m²]]),
BH25+IF(BI$2=Input_Tidshorisont,SUM(Materialedata[[#This Row],[C3/m²]:[C4/m²]]),IF(MOD(BI$2,Materialedata[[#This Row],[Levetid]])=0,SUM(Materialedata[[#This Row],[A1-A3/m²]:[C4/m²]]),0))
))</f>
        <v>-6.6367499999999993</v>
      </c>
      <c r="BJ25" s="141">
        <f>IF(BJ$2&gt;Input_Tidshorisont,BlankTegn,IF(BJ$2=0,SUM(Materialedata[[#This Row],[A1-A3/m²]:[A4/m²]]),
BI25+IF(BJ$2=Input_Tidshorisont,SUM(Materialedata[[#This Row],[C3/m²]:[C4/m²]]),IF(MOD(BJ$2,Materialedata[[#This Row],[Levetid]])=0,SUM(Materialedata[[#This Row],[A1-A3/m²]:[C4/m²]]),0))
))</f>
        <v>-6.6367499999999993</v>
      </c>
      <c r="BK25" s="141">
        <f>IF(BK$2&gt;Input_Tidshorisont,BlankTegn,IF(BK$2=0,SUM(Materialedata[[#This Row],[A1-A3/m²]:[A4/m²]]),
BJ25+IF(BK$2=Input_Tidshorisont,SUM(Materialedata[[#This Row],[C3/m²]:[C4/m²]]),IF(MOD(BK$2,Materialedata[[#This Row],[Levetid]])=0,SUM(Materialedata[[#This Row],[A1-A3/m²]:[C4/m²]]),0))
))</f>
        <v>-6.6367499999999993</v>
      </c>
      <c r="BL25" s="141">
        <f>IF(BL$2&gt;Input_Tidshorisont,BlankTegn,IF(BL$2=0,SUM(Materialedata[[#This Row],[A1-A3/m²]:[A4/m²]]),
BK25+IF(BL$2=Input_Tidshorisont,SUM(Materialedata[[#This Row],[C3/m²]:[C4/m²]]),IF(MOD(BL$2,Materialedata[[#This Row],[Levetid]])=0,SUM(Materialedata[[#This Row],[A1-A3/m²]:[C4/m²]]),0))
))</f>
        <v>-6.6367499999999993</v>
      </c>
      <c r="BM25" s="141">
        <f>IF(BM$2&gt;Input_Tidshorisont,BlankTegn,IF(BM$2=0,SUM(Materialedata[[#This Row],[A1-A3/m²]:[A4/m²]]),
BL25+IF(BM$2=Input_Tidshorisont,SUM(Materialedata[[#This Row],[C3/m²]:[C4/m²]]),IF(MOD(BM$2,Materialedata[[#This Row],[Levetid]])=0,SUM(Materialedata[[#This Row],[A1-A3/m²]:[C4/m²]]),0))
))</f>
        <v>-6.6367499999999993</v>
      </c>
      <c r="BN25" s="141">
        <f>IF(BN$2&gt;Input_Tidshorisont,BlankTegn,IF(BN$2=0,SUM(Materialedata[[#This Row],[A1-A3/m²]:[A4/m²]]),
BM25+IF(BN$2=Input_Tidshorisont,SUM(Materialedata[[#This Row],[C3/m²]:[C4/m²]]),IF(MOD(BN$2,Materialedata[[#This Row],[Levetid]])=0,SUM(Materialedata[[#This Row],[A1-A3/m²]:[C4/m²]]),0))
))</f>
        <v>-6.6367499999999993</v>
      </c>
      <c r="BO25" s="141">
        <f>IF(BO$2&gt;Input_Tidshorisont,BlankTegn,IF(BO$2=0,SUM(Materialedata[[#This Row],[A1-A3/m²]:[A4/m²]]),
BN25+IF(BO$2=Input_Tidshorisont,SUM(Materialedata[[#This Row],[C3/m²]:[C4/m²]]),IF(MOD(BO$2,Materialedata[[#This Row],[Levetid]])=0,SUM(Materialedata[[#This Row],[A1-A3/m²]:[C4/m²]]),0))
))</f>
        <v>-6.6367499999999993</v>
      </c>
      <c r="BP25" s="141">
        <f>IF(BP$2&gt;Input_Tidshorisont,BlankTegn,IF(BP$2=0,SUM(Materialedata[[#This Row],[A1-A3/m²]:[A4/m²]]),
BO25+IF(BP$2=Input_Tidshorisont,SUM(Materialedata[[#This Row],[C3/m²]:[C4/m²]]),IF(MOD(BP$2,Materialedata[[#This Row],[Levetid]])=0,SUM(Materialedata[[#This Row],[A1-A3/m²]:[C4/m²]]),0))
))</f>
        <v>-6.6367499999999993</v>
      </c>
      <c r="BQ25" s="141">
        <f>IF(BQ$2&gt;Input_Tidshorisont,BlankTegn,IF(BQ$2=0,SUM(Materialedata[[#This Row],[A1-A3/m²]:[A4/m²]]),
BP25+IF(BQ$2=Input_Tidshorisont,SUM(Materialedata[[#This Row],[C3/m²]:[C4/m²]]),IF(MOD(BQ$2,Materialedata[[#This Row],[Levetid]])=0,SUM(Materialedata[[#This Row],[A1-A3/m²]:[C4/m²]]),0))
))</f>
        <v>-6.6367499999999993</v>
      </c>
      <c r="BR25" s="141">
        <f>IF(BR$2&gt;Input_Tidshorisont,BlankTegn,IF(BR$2=0,SUM(Materialedata[[#This Row],[A1-A3/m²]:[A4/m²]]),
BQ25+IF(BR$2=Input_Tidshorisont,SUM(Materialedata[[#This Row],[C3/m²]:[C4/m²]]),IF(MOD(BR$2,Materialedata[[#This Row],[Levetid]])=0,SUM(Materialedata[[#This Row],[A1-A3/m²]:[C4/m²]]),0))
))</f>
        <v>-6.6367499999999993</v>
      </c>
      <c r="BS25" s="141">
        <f>IF(BS$2&gt;Input_Tidshorisont,BlankTegn,IF(BS$2=0,SUM(Materialedata[[#This Row],[A1-A3/m²]:[A4/m²]]),
BR25+IF(BS$2=Input_Tidshorisont,SUM(Materialedata[[#This Row],[C3/m²]:[C4/m²]]),IF(MOD(BS$2,Materialedata[[#This Row],[Levetid]])=0,SUM(Materialedata[[#This Row],[A1-A3/m²]:[C4/m²]]),0))
))</f>
        <v>-6.6367499999999993</v>
      </c>
      <c r="BT25" s="141">
        <f>IF(BT$2&gt;Input_Tidshorisont,BlankTegn,IF(BT$2=0,SUM(Materialedata[[#This Row],[A1-A3/m²]:[A4/m²]]),
BS25+IF(BT$2=Input_Tidshorisont,SUM(Materialedata[[#This Row],[C3/m²]:[C4/m²]]),IF(MOD(BT$2,Materialedata[[#This Row],[Levetid]])=0,SUM(Materialedata[[#This Row],[A1-A3/m²]:[C4/m²]]),0))
))</f>
        <v>-6.6367499999999993</v>
      </c>
      <c r="BU25" s="141">
        <f>IF(BU$2&gt;Input_Tidshorisont,BlankTegn,IF(BU$2=0,SUM(Materialedata[[#This Row],[A1-A3/m²]:[A4/m²]]),
BT25+IF(BU$2=Input_Tidshorisont,SUM(Materialedata[[#This Row],[C3/m²]:[C4/m²]]),IF(MOD(BU$2,Materialedata[[#This Row],[Levetid]])=0,SUM(Materialedata[[#This Row],[A1-A3/m²]:[C4/m²]]),0))
))</f>
        <v>-6.6367499999999993</v>
      </c>
      <c r="BV25" s="141">
        <f>IF(BV$2&gt;Input_Tidshorisont,BlankTegn,IF(BV$2=0,SUM(Materialedata[[#This Row],[A1-A3/m²]:[A4/m²]]),
BU25+IF(BV$2=Input_Tidshorisont,SUM(Materialedata[[#This Row],[C3/m²]:[C4/m²]]),IF(MOD(BV$2,Materialedata[[#This Row],[Levetid]])=0,SUM(Materialedata[[#This Row],[A1-A3/m²]:[C4/m²]]),0))
))</f>
        <v>-6.6367499999999993</v>
      </c>
      <c r="BW25" s="141">
        <f>IF(BW$2&gt;Input_Tidshorisont,BlankTegn,IF(BW$2=0,SUM(Materialedata[[#This Row],[A1-A3/m²]:[A4/m²]]),
BV25+IF(BW$2=Input_Tidshorisont,SUM(Materialedata[[#This Row],[C3/m²]:[C4/m²]]),IF(MOD(BW$2,Materialedata[[#This Row],[Levetid]])=0,SUM(Materialedata[[#This Row],[A1-A3/m²]:[C4/m²]]),0))
))</f>
        <v>-6.6367499999999993</v>
      </c>
      <c r="BX25" s="141">
        <f>IF(BX$2&gt;Input_Tidshorisont,BlankTegn,IF(BX$2=0,SUM(Materialedata[[#This Row],[A1-A3/m²]:[A4/m²]]),
BW25+IF(BX$2=Input_Tidshorisont,SUM(Materialedata[[#This Row],[C3/m²]:[C4/m²]]),IF(MOD(BX$2,Materialedata[[#This Row],[Levetid]])=0,SUM(Materialedata[[#This Row],[A1-A3/m²]:[C4/m²]]),0))
))</f>
        <v>-6.6367499999999993</v>
      </c>
      <c r="BY25" s="141">
        <f>IF(BY$2&gt;Input_Tidshorisont,BlankTegn,IF(BY$2=0,SUM(Materialedata[[#This Row],[A1-A3/m²]:[A4/m²]]),
BX25+IF(BY$2=Input_Tidshorisont,SUM(Materialedata[[#This Row],[C3/m²]:[C4/m²]]),IF(MOD(BY$2,Materialedata[[#This Row],[Levetid]])=0,SUM(Materialedata[[#This Row],[A1-A3/m²]:[C4/m²]]),0))
))</f>
        <v>-6.6367499999999993</v>
      </c>
      <c r="BZ25" s="141">
        <f>IF(BZ$2&gt;Input_Tidshorisont,BlankTegn,IF(BZ$2=0,SUM(Materialedata[[#This Row],[A1-A3/m²]:[A4/m²]]),
BY25+IF(BZ$2=Input_Tidshorisont,SUM(Materialedata[[#This Row],[C3/m²]:[C4/m²]]),IF(MOD(BZ$2,Materialedata[[#This Row],[Levetid]])=0,SUM(Materialedata[[#This Row],[A1-A3/m²]:[C4/m²]]),0))
))</f>
        <v>-6.6367499999999993</v>
      </c>
      <c r="CA25" s="141">
        <f>IF(CA$2&gt;Input_Tidshorisont,BlankTegn,IF(CA$2=0,SUM(Materialedata[[#This Row],[A1-A3/m²]:[A4/m²]]),
BZ25+IF(CA$2=Input_Tidshorisont,SUM(Materialedata[[#This Row],[C3/m²]:[C4/m²]]),IF(MOD(CA$2,Materialedata[[#This Row],[Levetid]])=0,SUM(Materialedata[[#This Row],[A1-A3/m²]:[C4/m²]]),0))
))</f>
        <v>-6.6367499999999993</v>
      </c>
      <c r="CB25" s="141">
        <f>IF(CB$2&gt;Input_Tidshorisont,BlankTegn,IF(CB$2=0,SUM(Materialedata[[#This Row],[A1-A3/m²]:[A4/m²]]),
CA25+IF(CB$2=Input_Tidshorisont,SUM(Materialedata[[#This Row],[C3/m²]:[C4/m²]]),IF(MOD(CB$2,Materialedata[[#This Row],[Levetid]])=0,SUM(Materialedata[[#This Row],[A1-A3/m²]:[C4/m²]]),0))
))</f>
        <v>-6.6367499999999993</v>
      </c>
      <c r="CC25" s="141">
        <f>IF(CC$2&gt;Input_Tidshorisont,BlankTegn,IF(CC$2=0,SUM(Materialedata[[#This Row],[A1-A3/m²]:[A4/m²]]),
CB25+IF(CC$2=Input_Tidshorisont,SUM(Materialedata[[#This Row],[C3/m²]:[C4/m²]]),IF(MOD(CC$2,Materialedata[[#This Row],[Levetid]])=0,SUM(Materialedata[[#This Row],[A1-A3/m²]:[C4/m²]]),0))
))</f>
        <v>-6.6367499999999993</v>
      </c>
      <c r="CD25" s="141">
        <f>IF(CD$2&gt;Input_Tidshorisont,BlankTegn,IF(CD$2=0,SUM(Materialedata[[#This Row],[A1-A3/m²]:[A4/m²]]),
CC25+IF(CD$2=Input_Tidshorisont,SUM(Materialedata[[#This Row],[C3/m²]:[C4/m²]]),IF(MOD(CD$2,Materialedata[[#This Row],[Levetid]])=0,SUM(Materialedata[[#This Row],[A1-A3/m²]:[C4/m²]]),0))
))</f>
        <v>-6.6367499999999993</v>
      </c>
      <c r="CE25" s="141">
        <f>IF(CE$2&gt;Input_Tidshorisont,BlankTegn,IF(CE$2=0,SUM(Materialedata[[#This Row],[A1-A3/m²]:[A4/m²]]),
CD25+IF(CE$2=Input_Tidshorisont,SUM(Materialedata[[#This Row],[C3/m²]:[C4/m²]]),IF(MOD(CE$2,Materialedata[[#This Row],[Levetid]])=0,SUM(Materialedata[[#This Row],[A1-A3/m²]:[C4/m²]]),0))
))</f>
        <v>-6.6367499999999993</v>
      </c>
      <c r="CF25" s="141">
        <f>IF(CF$2&gt;Input_Tidshorisont,BlankTegn,IF(CF$2=0,SUM(Materialedata[[#This Row],[A1-A3/m²]:[A4/m²]]),
CE25+IF(CF$2=Input_Tidshorisont,SUM(Materialedata[[#This Row],[C3/m²]:[C4/m²]]),IF(MOD(CF$2,Materialedata[[#This Row],[Levetid]])=0,SUM(Materialedata[[#This Row],[A1-A3/m²]:[C4/m²]]),0))
))</f>
        <v>-6.6367499999999993</v>
      </c>
      <c r="CG25" s="141">
        <f>IF(CG$2&gt;Input_Tidshorisont,BlankTegn,IF(CG$2=0,SUM(Materialedata[[#This Row],[A1-A3/m²]:[A4/m²]]),
CF25+IF(CG$2=Input_Tidshorisont,SUM(Materialedata[[#This Row],[C3/m²]:[C4/m²]]),IF(MOD(CG$2,Materialedata[[#This Row],[Levetid]])=0,SUM(Materialedata[[#This Row],[A1-A3/m²]:[C4/m²]]),0))
))</f>
        <v>-6.6367499999999993</v>
      </c>
      <c r="CH25" s="141">
        <f>IF(CH$2&gt;Input_Tidshorisont,BlankTegn,IF(CH$2=0,SUM(Materialedata[[#This Row],[A1-A3/m²]:[A4/m²]]),
CG25+IF(CH$2=Input_Tidshorisont,SUM(Materialedata[[#This Row],[C3/m²]:[C4/m²]]),IF(MOD(CH$2,Materialedata[[#This Row],[Levetid]])=0,SUM(Materialedata[[#This Row],[A1-A3/m²]:[C4/m²]]),0))
))</f>
        <v>0.61325000000000074</v>
      </c>
      <c r="CI25" s="141" t="str">
        <f>IF(CI$2&gt;Input_Tidshorisont,BlankTegn,IF(CI$2=0,SUM(Materialedata[[#This Row],[A1-A3/m²]:[A4/m²]]),
CH25+IF(CI$2=Input_Tidshorisont,SUM(Materialedata[[#This Row],[C3/m²]:[C4/m²]]),IF(MOD(CI$2,Materialedata[[#This Row],[Levetid]])=0,SUM(Materialedata[[#This Row],[A1-A3/m²]:[C4/m²]]),0))
))</f>
        <v>.</v>
      </c>
      <c r="CJ25" s="141" t="str">
        <f>IF(CJ$2&gt;Input_Tidshorisont,BlankTegn,IF(CJ$2=0,SUM(Materialedata[[#This Row],[A1-A3/m²]:[A4/m²]]),
CI25+IF(CJ$2=Input_Tidshorisont,SUM(Materialedata[[#This Row],[C3/m²]:[C4/m²]]),IF(MOD(CJ$2,Materialedata[[#This Row],[Levetid]])=0,SUM(Materialedata[[#This Row],[A1-A3/m²]:[C4/m²]]),0))
))</f>
        <v>.</v>
      </c>
      <c r="CK25" s="141" t="str">
        <f>IF(CK$2&gt;Input_Tidshorisont,BlankTegn,IF(CK$2=0,SUM(Materialedata[[#This Row],[A1-A3/m²]:[A4/m²]]),
CJ25+IF(CK$2=Input_Tidshorisont,SUM(Materialedata[[#This Row],[C3/m²]:[C4/m²]]),IF(MOD(CK$2,Materialedata[[#This Row],[Levetid]])=0,SUM(Materialedata[[#This Row],[A1-A3/m²]:[C4/m²]]),0))
))</f>
        <v>.</v>
      </c>
      <c r="CL25" s="141" t="str">
        <f>IF(CL$2&gt;Input_Tidshorisont,BlankTegn,IF(CL$2=0,SUM(Materialedata[[#This Row],[A1-A3/m²]:[A4/m²]]),
CK25+IF(CL$2=Input_Tidshorisont,SUM(Materialedata[[#This Row],[C3/m²]:[C4/m²]]),IF(MOD(CL$2,Materialedata[[#This Row],[Levetid]])=0,SUM(Materialedata[[#This Row],[A1-A3/m²]:[C4/m²]]),0))
))</f>
        <v>.</v>
      </c>
      <c r="CM25" s="141" t="str">
        <f>IF(CM$2&gt;Input_Tidshorisont,BlankTegn,IF(CM$2=0,SUM(Materialedata[[#This Row],[A1-A3/m²]:[A4/m²]]),
CL25+IF(CM$2=Input_Tidshorisont,SUM(Materialedata[[#This Row],[C3/m²]:[C4/m²]]),IF(MOD(CM$2,Materialedata[[#This Row],[Levetid]])=0,SUM(Materialedata[[#This Row],[A1-A3/m²]:[C4/m²]]),0))
))</f>
        <v>.</v>
      </c>
      <c r="CN25" s="141" t="str">
        <f>IF(CN$2&gt;Input_Tidshorisont,BlankTegn,IF(CN$2=0,SUM(Materialedata[[#This Row],[A1-A3/m²]:[A4/m²]]),
CM25+IF(CN$2=Input_Tidshorisont,SUM(Materialedata[[#This Row],[C3/m²]:[C4/m²]]),IF(MOD(CN$2,Materialedata[[#This Row],[Levetid]])=0,SUM(Materialedata[[#This Row],[A1-A3/m²]:[C4/m²]]),0))
))</f>
        <v>.</v>
      </c>
      <c r="CO25" s="141" t="str">
        <f>IF(CO$2&gt;Input_Tidshorisont,BlankTegn,IF(CO$2=0,SUM(Materialedata[[#This Row],[A1-A3/m²]:[A4/m²]]),
CN25+IF(CO$2=Input_Tidshorisont,SUM(Materialedata[[#This Row],[C3/m²]:[C4/m²]]),IF(MOD(CO$2,Materialedata[[#This Row],[Levetid]])=0,SUM(Materialedata[[#This Row],[A1-A3/m²]:[C4/m²]]),0))
))</f>
        <v>.</v>
      </c>
      <c r="CP25" s="141" t="str">
        <f>IF(CP$2&gt;Input_Tidshorisont,BlankTegn,IF(CP$2=0,SUM(Materialedata[[#This Row],[A1-A3/m²]:[A4/m²]]),
CO25+IF(CP$2=Input_Tidshorisont,SUM(Materialedata[[#This Row],[C3/m²]:[C4/m²]]),IF(MOD(CP$2,Materialedata[[#This Row],[Levetid]])=0,SUM(Materialedata[[#This Row],[A1-A3/m²]:[C4/m²]]),0))
))</f>
        <v>.</v>
      </c>
      <c r="CQ25" s="141" t="str">
        <f>IF(CQ$2&gt;Input_Tidshorisont,BlankTegn,IF(CQ$2=0,SUM(Materialedata[[#This Row],[A1-A3/m²]:[A4/m²]]),
CP25+IF(CQ$2=Input_Tidshorisont,SUM(Materialedata[[#This Row],[C3/m²]:[C4/m²]]),IF(MOD(CQ$2,Materialedata[[#This Row],[Levetid]])=0,SUM(Materialedata[[#This Row],[A1-A3/m²]:[C4/m²]]),0))
))</f>
        <v>.</v>
      </c>
      <c r="CR25" s="141" t="str">
        <f>IF(CR$2&gt;Input_Tidshorisont,BlankTegn,IF(CR$2=0,SUM(Materialedata[[#This Row],[A1-A3/m²]:[A4/m²]]),
CQ25+IF(CR$2=Input_Tidshorisont,SUM(Materialedata[[#This Row],[C3/m²]:[C4/m²]]),IF(MOD(CR$2,Materialedata[[#This Row],[Levetid]])=0,SUM(Materialedata[[#This Row],[A1-A3/m²]:[C4/m²]]),0))
))</f>
        <v>.</v>
      </c>
      <c r="CS25" s="141" t="str">
        <f>IF(CS$2&gt;Input_Tidshorisont,BlankTegn,IF(CS$2=0,SUM(Materialedata[[#This Row],[A1-A3/m²]:[A4/m²]]),
CR25+IF(CS$2=Input_Tidshorisont,SUM(Materialedata[[#This Row],[C3/m²]:[C4/m²]]),IF(MOD(CS$2,Materialedata[[#This Row],[Levetid]])=0,SUM(Materialedata[[#This Row],[A1-A3/m²]:[C4/m²]]),0))
))</f>
        <v>.</v>
      </c>
      <c r="CT25" s="141" t="str">
        <f>IF(CT$2&gt;Input_Tidshorisont,BlankTegn,IF(CT$2=0,SUM(Materialedata[[#This Row],[A1-A3/m²]:[A4/m²]]),
CS25+IF(CT$2=Input_Tidshorisont,SUM(Materialedata[[#This Row],[C3/m²]:[C4/m²]]),IF(MOD(CT$2,Materialedata[[#This Row],[Levetid]])=0,SUM(Materialedata[[#This Row],[A1-A3/m²]:[C4/m²]]),0))
))</f>
        <v>.</v>
      </c>
      <c r="CU25" s="141" t="str">
        <f>IF(CU$2&gt;Input_Tidshorisont,BlankTegn,IF(CU$2=0,SUM(Materialedata[[#This Row],[A1-A3/m²]:[A4/m²]]),
CT25+IF(CU$2=Input_Tidshorisont,SUM(Materialedata[[#This Row],[C3/m²]:[C4/m²]]),IF(MOD(CU$2,Materialedata[[#This Row],[Levetid]])=0,SUM(Materialedata[[#This Row],[A1-A3/m²]:[C4/m²]]),0))
))</f>
        <v>.</v>
      </c>
      <c r="CV25" s="141" t="str">
        <f>IF(CV$2&gt;Input_Tidshorisont,BlankTegn,IF(CV$2=0,SUM(Materialedata[[#This Row],[A1-A3/m²]:[A4/m²]]),
CU25+IF(CV$2=Input_Tidshorisont,SUM(Materialedata[[#This Row],[C3/m²]:[C4/m²]]),IF(MOD(CV$2,Materialedata[[#This Row],[Levetid]])=0,SUM(Materialedata[[#This Row],[A1-A3/m²]:[C4/m²]]),0))
))</f>
        <v>.</v>
      </c>
      <c r="CW25" s="141" t="str">
        <f>IF(CW$2&gt;Input_Tidshorisont,BlankTegn,IF(CW$2=0,SUM(Materialedata[[#This Row],[A1-A3/m²]:[A4/m²]]),
CV25+IF(CW$2=Input_Tidshorisont,SUM(Materialedata[[#This Row],[C3/m²]:[C4/m²]]),IF(MOD(CW$2,Materialedata[[#This Row],[Levetid]])=0,SUM(Materialedata[[#This Row],[A1-A3/m²]:[C4/m²]]),0))
))</f>
        <v>.</v>
      </c>
      <c r="CX25" s="141" t="str">
        <f>IF(CX$2&gt;Input_Tidshorisont,BlankTegn,IF(CX$2=0,SUM(Materialedata[[#This Row],[A1-A3/m²]:[A4/m²]]),
CW25+IF(CX$2=Input_Tidshorisont,SUM(Materialedata[[#This Row],[C3/m²]:[C4/m²]]),IF(MOD(CX$2,Materialedata[[#This Row],[Levetid]])=0,SUM(Materialedata[[#This Row],[A1-A3/m²]:[C4/m²]]),0))
))</f>
        <v>.</v>
      </c>
      <c r="CY25" s="141" t="str">
        <f>IF(CY$2&gt;Input_Tidshorisont,BlankTegn,IF(CY$2=0,SUM(Materialedata[[#This Row],[A1-A3/m²]:[A4/m²]]),
CX25+IF(CY$2=Input_Tidshorisont,SUM(Materialedata[[#This Row],[C3/m²]:[C4/m²]]),IF(MOD(CY$2,Materialedata[[#This Row],[Levetid]])=0,SUM(Materialedata[[#This Row],[A1-A3/m²]:[C4/m²]]),0))
))</f>
        <v>.</v>
      </c>
      <c r="CZ25" s="141" t="str">
        <f>IF(CZ$2&gt;Input_Tidshorisont,BlankTegn,IF(CZ$2=0,SUM(Materialedata[[#This Row],[A1-A3/m²]:[A4/m²]]),
CY25+IF(CZ$2=Input_Tidshorisont,SUM(Materialedata[[#This Row],[C3/m²]:[C4/m²]]),IF(MOD(CZ$2,Materialedata[[#This Row],[Levetid]])=0,SUM(Materialedata[[#This Row],[A1-A3/m²]:[C4/m²]]),0))
))</f>
        <v>.</v>
      </c>
      <c r="DA25" s="141" t="str">
        <f>IF(DA$2&gt;Input_Tidshorisont,BlankTegn,IF(DA$2=0,SUM(Materialedata[[#This Row],[A1-A3/m²]:[A4/m²]]),
CZ25+IF(DA$2=Input_Tidshorisont,SUM(Materialedata[[#This Row],[C3/m²]:[C4/m²]]),IF(MOD(DA$2,Materialedata[[#This Row],[Levetid]])=0,SUM(Materialedata[[#This Row],[A1-A3/m²]:[C4/m²]]),0))
))</f>
        <v>.</v>
      </c>
      <c r="DB25" s="141" t="str">
        <f>IF(DB$2&gt;Input_Tidshorisont,BlankTegn,IF(DB$2=0,SUM(Materialedata[[#This Row],[A1-A3/m²]:[A4/m²]]),
DA25+IF(DB$2=Input_Tidshorisont,SUM(Materialedata[[#This Row],[C3/m²]:[C4/m²]]),IF(MOD(DB$2,Materialedata[[#This Row],[Levetid]])=0,SUM(Materialedata[[#This Row],[A1-A3/m²]:[C4/m²]]),0))
))</f>
        <v>.</v>
      </c>
      <c r="DC25" s="141" t="str">
        <f>IF(DC$2&gt;Input_Tidshorisont,BlankTegn,IF(DC$2=0,SUM(Materialedata[[#This Row],[A1-A3/m²]:[A4/m²]]),
DB25+IF(DC$2=Input_Tidshorisont,SUM(Materialedata[[#This Row],[C3/m²]:[C4/m²]]),IF(MOD(DC$2,Materialedata[[#This Row],[Levetid]])=0,SUM(Materialedata[[#This Row],[A1-A3/m²]:[C4/m²]]),0))
))</f>
        <v>.</v>
      </c>
      <c r="DD25" s="141" t="str">
        <f>IF(DD$2&gt;Input_Tidshorisont,BlankTegn,IF(DD$2=0,SUM(Materialedata[[#This Row],[A1-A3/m²]:[A4/m²]]),
DC25+IF(DD$2=Input_Tidshorisont,SUM(Materialedata[[#This Row],[C3/m²]:[C4/m²]]),IF(MOD(DD$2,Materialedata[[#This Row],[Levetid]])=0,SUM(Materialedata[[#This Row],[A1-A3/m²]:[C4/m²]]),0))
))</f>
        <v>.</v>
      </c>
      <c r="DE25" s="141" t="str">
        <f>IF(DE$2&gt;Input_Tidshorisont,BlankTegn,IF(DE$2=0,SUM(Materialedata[[#This Row],[A1-A3/m²]:[A4/m²]]),
DD25+IF(DE$2=Input_Tidshorisont,SUM(Materialedata[[#This Row],[C3/m²]:[C4/m²]]),IF(MOD(DE$2,Materialedata[[#This Row],[Levetid]])=0,SUM(Materialedata[[#This Row],[A1-A3/m²]:[C4/m²]]),0))
))</f>
        <v>.</v>
      </c>
      <c r="DF25" s="141" t="str">
        <f>IF(DF$2&gt;Input_Tidshorisont,BlankTegn,IF(DF$2=0,SUM(Materialedata[[#This Row],[A1-A3/m²]:[A4/m²]]),
DE25+IF(DF$2=Input_Tidshorisont,SUM(Materialedata[[#This Row],[C3/m²]:[C4/m²]]),IF(MOD(DF$2,Materialedata[[#This Row],[Levetid]])=0,SUM(Materialedata[[#This Row],[A1-A3/m²]:[C4/m²]]),0))
))</f>
        <v>.</v>
      </c>
      <c r="DG25" s="141" t="str">
        <f>IF(DG$2&gt;Input_Tidshorisont,BlankTegn,IF(DG$2=0,SUM(Materialedata[[#This Row],[A1-A3/m²]:[A4/m²]]),
DF25+IF(DG$2=Input_Tidshorisont,SUM(Materialedata[[#This Row],[C3/m²]:[C4/m²]]),IF(MOD(DG$2,Materialedata[[#This Row],[Levetid]])=0,SUM(Materialedata[[#This Row],[A1-A3/m²]:[C4/m²]]),0))
))</f>
        <v>.</v>
      </c>
      <c r="DH25" s="141" t="str">
        <f>IF(DH$2&gt;Input_Tidshorisont,BlankTegn,IF(DH$2=0,SUM(Materialedata[[#This Row],[A1-A3/m²]:[A4/m²]]),
DG25+IF(DH$2=Input_Tidshorisont,SUM(Materialedata[[#This Row],[C3/m²]:[C4/m²]]),IF(MOD(DH$2,Materialedata[[#This Row],[Levetid]])=0,SUM(Materialedata[[#This Row],[A1-A3/m²]:[C4/m²]]),0))
))</f>
        <v>.</v>
      </c>
      <c r="DI25" s="141" t="str">
        <f>IF(DI$2&gt;Input_Tidshorisont,BlankTegn,IF(DI$2=0,SUM(Materialedata[[#This Row],[A1-A3/m²]:[A4/m²]]),
DH25+IF(DI$2=Input_Tidshorisont,SUM(Materialedata[[#This Row],[C3/m²]:[C4/m²]]),IF(MOD(DI$2,Materialedata[[#This Row],[Levetid]])=0,SUM(Materialedata[[#This Row],[A1-A3/m²]:[C4/m²]]),0))
))</f>
        <v>.</v>
      </c>
      <c r="DJ25" s="141" t="str">
        <f>IF(DJ$2&gt;Input_Tidshorisont,BlankTegn,IF(DJ$2=0,SUM(Materialedata[[#This Row],[A1-A3/m²]:[A4/m²]]),
DI25+IF(DJ$2=Input_Tidshorisont,SUM(Materialedata[[#This Row],[C3/m²]:[C4/m²]]),IF(MOD(DJ$2,Materialedata[[#This Row],[Levetid]])=0,SUM(Materialedata[[#This Row],[A1-A3/m²]:[C4/m²]]),0))
))</f>
        <v>.</v>
      </c>
      <c r="DK25" s="141" t="str">
        <f>IF(DK$2&gt;Input_Tidshorisont,BlankTegn,IF(DK$2=0,SUM(Materialedata[[#This Row],[A1-A3/m²]:[A4/m²]]),
DJ25+IF(DK$2=Input_Tidshorisont,SUM(Materialedata[[#This Row],[C3/m²]:[C4/m²]]),IF(MOD(DK$2,Materialedata[[#This Row],[Levetid]])=0,SUM(Materialedata[[#This Row],[A1-A3/m²]:[C4/m²]]),0))
))</f>
        <v>.</v>
      </c>
      <c r="DL25" s="141" t="str">
        <f>IF(DL$2&gt;Input_Tidshorisont,BlankTegn,IF(DL$2=0,SUM(Materialedata[[#This Row],[A1-A3/m²]:[A4/m²]]),
DK25+IF(DL$2=Input_Tidshorisont,SUM(Materialedata[[#This Row],[C3/m²]:[C4/m²]]),IF(MOD(DL$2,Materialedata[[#This Row],[Levetid]])=0,SUM(Materialedata[[#This Row],[A1-A3/m²]:[C4/m²]]),0))
))</f>
        <v>.</v>
      </c>
      <c r="DM25" s="19"/>
    </row>
    <row r="26" spans="1:117">
      <c r="A26" s="182" t="s">
        <v>248</v>
      </c>
      <c r="B26" s="182" t="s">
        <v>163</v>
      </c>
      <c r="C26" s="148" t="s">
        <v>131</v>
      </c>
      <c r="D26" s="184"/>
      <c r="E26" s="180" t="s">
        <v>164</v>
      </c>
      <c r="F26" s="182" t="s">
        <v>165</v>
      </c>
      <c r="G26" s="182">
        <v>60</v>
      </c>
      <c r="H26" s="183">
        <v>13</v>
      </c>
      <c r="I26" s="184">
        <f>0.2*1*1</f>
        <v>0.2</v>
      </c>
      <c r="J26" s="184" t="s">
        <v>232</v>
      </c>
      <c r="K26" s="182">
        <v>2.5099999999999998</v>
      </c>
      <c r="L26" s="182" t="s">
        <v>219</v>
      </c>
      <c r="M26" s="185">
        <f>IF(ISBLANK(Materialedata[[#This Row],[A4-gruppe]]),BlankTegn,INDEX(Byggeproces[GWP],MATCH(Materialedata[[#This Row],[A4-gruppe]],Byggeproces[Gruppe/Undergruppe],0)))</f>
        <v>6.0900000000000003E-2</v>
      </c>
      <c r="N26" s="182">
        <v>1.87</v>
      </c>
      <c r="O26" s="182">
        <v>9.1100000000000005E-5</v>
      </c>
      <c r="P26" s="182">
        <v>-8.7099999999999997E-2</v>
      </c>
      <c r="Q26" s="277">
        <f>Materialedata[[#This Row],[A1-A3/standardenhed]]/0.037*0.2</f>
        <v>13.567567567567568</v>
      </c>
      <c r="R26" s="278" cm="1">
        <f t="array" ref="R26">IFERROR(_xlfn.IFS(Materialedata[[#This Row],[Mængde-enhed]]="kg/m²",Materialedata[[#This Row],[A4/kg]]*Materialedata[[#This Row],[Mængde/m²]],Materialedata[[#This Row],[Mængde-enhed]]="m³/m²",Materialedata[[#This Row],[A4/kg]]*Materialedata[[#This Row],[Mængde/m²]]*Materialedata[[#This Row],[Densitet]]),"N/A")</f>
        <v>0.15834000000000001</v>
      </c>
      <c r="S26" s="277">
        <f>Materialedata[[#This Row],[C3/enhed]]/0.037*0.2</f>
        <v>10.108108108108111</v>
      </c>
      <c r="T26" s="277">
        <f>Materialedata[[#This Row],[C4/enhed]]/0.037*0.2</f>
        <v>4.9243243243243253E-4</v>
      </c>
      <c r="U26" s="277">
        <f>Materialedata[[#This Row],[D/enhed]]/0.037*0.2</f>
        <v>-0.47081081081081089</v>
      </c>
      <c r="V26" s="150">
        <f>IFERROR(INDEX(Range_Materiale_Genbrug,MATCH(Materialedata[[#This Row],[Komponent]],Facadekomponenter,0)),BlankTegn)</f>
        <v>0</v>
      </c>
      <c r="W26" s="150">
        <f>IFERROR(1-Materialedata[[#This Row],[Genbrug]],BlankTegn)</f>
        <v>1</v>
      </c>
      <c r="X26" s="186">
        <f>IFERROR(Materialedata[[#This Row],[A1-A3/m²_nyt]]*Materialedata[[#This Row],[Nyt]],BlankTegn)</f>
        <v>13.567567567567568</v>
      </c>
      <c r="Y26" s="186">
        <f>Materialedata[[#This Row],[A4/m²_nyt]]</f>
        <v>0.15834000000000001</v>
      </c>
      <c r="Z26" s="186">
        <f>IFERROR(Materialedata[[#This Row],[C3/m²_nyt]]*Materialedata[[#This Row],[Nyt]],BlankTegn)</f>
        <v>10.108108108108111</v>
      </c>
      <c r="AA26" s="186">
        <f>IFERROR(Materialedata[[#This Row],[C4/m²_nyt]]*Materialedata[[#This Row],[Nyt]],BlankTegn)</f>
        <v>4.9243243243243253E-4</v>
      </c>
      <c r="AB26" s="186">
        <f>IFERROR(Materialedata[[#This Row],[D/m²_nyt]]*Materialedata[[#This Row],[Nyt]],BlankTegn)</f>
        <v>-0.47081081081081089</v>
      </c>
      <c r="AC26" s="187">
        <v>303.6565666274663</v>
      </c>
      <c r="AD26" s="188" t="s">
        <v>29</v>
      </c>
      <c r="AE26" s="182">
        <v>1</v>
      </c>
      <c r="AF26" s="189">
        <f>Materialedata[[#This Row],[Pris/enhed]]*Materialedata[[#This Row],[Omregning]]</f>
        <v>303.6565666274663</v>
      </c>
      <c r="AG26" s="190">
        <v>0.01</v>
      </c>
      <c r="AH26" s="191">
        <v>1</v>
      </c>
      <c r="AI26" s="162">
        <v>0</v>
      </c>
      <c r="AJ26" s="141">
        <f>IF(AJ$2&gt;Input_Tidshorisont,BlankTegn,IF(AJ$2=0,SUM(Materialedata[[#This Row],[A1-A3/m²]:[A4/m²]]),
AI26+IF(AJ$2=Input_Tidshorisont,SUM(Materialedata[[#This Row],[C3/m²]:[C4/m²]]),IF(MOD(AJ$2,Materialedata[[#This Row],[Levetid]])=0,SUM(Materialedata[[#This Row],[A1-A3/m²]:[C4/m²]]),0))
))</f>
        <v>13.725907567567569</v>
      </c>
      <c r="AK26" s="141">
        <f>IF(AK$2&gt;Input_Tidshorisont,BlankTegn,IF(AK$2=0,SUM(Materialedata[[#This Row],[A1-A3/m²]:[A4/m²]]),
AJ26+IF(AK$2=Input_Tidshorisont,SUM(Materialedata[[#This Row],[C3/m²]:[C4/m²]]),IF(MOD(AK$2,Materialedata[[#This Row],[Levetid]])=0,SUM(Materialedata[[#This Row],[A1-A3/m²]:[C4/m²]]),0))
))</f>
        <v>13.725907567567569</v>
      </c>
      <c r="AL26" s="141">
        <f>IF(AL$2&gt;Input_Tidshorisont,BlankTegn,IF(AL$2=0,SUM(Materialedata[[#This Row],[A1-A3/m²]:[A4/m²]]),
AK26+IF(AL$2=Input_Tidshorisont,SUM(Materialedata[[#This Row],[C3/m²]:[C4/m²]]),IF(MOD(AL$2,Materialedata[[#This Row],[Levetid]])=0,SUM(Materialedata[[#This Row],[A1-A3/m²]:[C4/m²]]),0))
))</f>
        <v>13.725907567567569</v>
      </c>
      <c r="AM26" s="141">
        <f>IF(AM$2&gt;Input_Tidshorisont,BlankTegn,IF(AM$2=0,SUM(Materialedata[[#This Row],[A1-A3/m²]:[A4/m²]]),
AL26+IF(AM$2=Input_Tidshorisont,SUM(Materialedata[[#This Row],[C3/m²]:[C4/m²]]),IF(MOD(AM$2,Materialedata[[#This Row],[Levetid]])=0,SUM(Materialedata[[#This Row],[A1-A3/m²]:[C4/m²]]),0))
))</f>
        <v>13.725907567567569</v>
      </c>
      <c r="AN26" s="141">
        <f>IF(AN$2&gt;Input_Tidshorisont,BlankTegn,IF(AN$2=0,SUM(Materialedata[[#This Row],[A1-A3/m²]:[A4/m²]]),
AM26+IF(AN$2=Input_Tidshorisont,SUM(Materialedata[[#This Row],[C3/m²]:[C4/m²]]),IF(MOD(AN$2,Materialedata[[#This Row],[Levetid]])=0,SUM(Materialedata[[#This Row],[A1-A3/m²]:[C4/m²]]),0))
))</f>
        <v>13.725907567567569</v>
      </c>
      <c r="AO26" s="141">
        <f>IF(AO$2&gt;Input_Tidshorisont,BlankTegn,IF(AO$2=0,SUM(Materialedata[[#This Row],[A1-A3/m²]:[A4/m²]]),
AN26+IF(AO$2=Input_Tidshorisont,SUM(Materialedata[[#This Row],[C3/m²]:[C4/m²]]),IF(MOD(AO$2,Materialedata[[#This Row],[Levetid]])=0,SUM(Materialedata[[#This Row],[A1-A3/m²]:[C4/m²]]),0))
))</f>
        <v>13.725907567567569</v>
      </c>
      <c r="AP26" s="141">
        <f>IF(AP$2&gt;Input_Tidshorisont,BlankTegn,IF(AP$2=0,SUM(Materialedata[[#This Row],[A1-A3/m²]:[A4/m²]]),
AO26+IF(AP$2=Input_Tidshorisont,SUM(Materialedata[[#This Row],[C3/m²]:[C4/m²]]),IF(MOD(AP$2,Materialedata[[#This Row],[Levetid]])=0,SUM(Materialedata[[#This Row],[A1-A3/m²]:[C4/m²]]),0))
))</f>
        <v>13.725907567567569</v>
      </c>
      <c r="AQ26" s="141">
        <f>IF(AQ$2&gt;Input_Tidshorisont,BlankTegn,IF(AQ$2=0,SUM(Materialedata[[#This Row],[A1-A3/m²]:[A4/m²]]),
AP26+IF(AQ$2=Input_Tidshorisont,SUM(Materialedata[[#This Row],[C3/m²]:[C4/m²]]),IF(MOD(AQ$2,Materialedata[[#This Row],[Levetid]])=0,SUM(Materialedata[[#This Row],[A1-A3/m²]:[C4/m²]]),0))
))</f>
        <v>13.725907567567569</v>
      </c>
      <c r="AR26" s="141">
        <f>IF(AR$2&gt;Input_Tidshorisont,BlankTegn,IF(AR$2=0,SUM(Materialedata[[#This Row],[A1-A3/m²]:[A4/m²]]),
AQ26+IF(AR$2=Input_Tidshorisont,SUM(Materialedata[[#This Row],[C3/m²]:[C4/m²]]),IF(MOD(AR$2,Materialedata[[#This Row],[Levetid]])=0,SUM(Materialedata[[#This Row],[A1-A3/m²]:[C4/m²]]),0))
))</f>
        <v>13.725907567567569</v>
      </c>
      <c r="AS26" s="141">
        <f>IF(AS$2&gt;Input_Tidshorisont,BlankTegn,IF(AS$2=0,SUM(Materialedata[[#This Row],[A1-A3/m²]:[A4/m²]]),
AR26+IF(AS$2=Input_Tidshorisont,SUM(Materialedata[[#This Row],[C3/m²]:[C4/m²]]),IF(MOD(AS$2,Materialedata[[#This Row],[Levetid]])=0,SUM(Materialedata[[#This Row],[A1-A3/m²]:[C4/m²]]),0))
))</f>
        <v>13.725907567567569</v>
      </c>
      <c r="AT26" s="141">
        <f>IF(AT$2&gt;Input_Tidshorisont,BlankTegn,IF(AT$2=0,SUM(Materialedata[[#This Row],[A1-A3/m²]:[A4/m²]]),
AS26+IF(AT$2=Input_Tidshorisont,SUM(Materialedata[[#This Row],[C3/m²]:[C4/m²]]),IF(MOD(AT$2,Materialedata[[#This Row],[Levetid]])=0,SUM(Materialedata[[#This Row],[A1-A3/m²]:[C4/m²]]),0))
))</f>
        <v>13.725907567567569</v>
      </c>
      <c r="AU26" s="141">
        <f>IF(AU$2&gt;Input_Tidshorisont,BlankTegn,IF(AU$2=0,SUM(Materialedata[[#This Row],[A1-A3/m²]:[A4/m²]]),
AT26+IF(AU$2=Input_Tidshorisont,SUM(Materialedata[[#This Row],[C3/m²]:[C4/m²]]),IF(MOD(AU$2,Materialedata[[#This Row],[Levetid]])=0,SUM(Materialedata[[#This Row],[A1-A3/m²]:[C4/m²]]),0))
))</f>
        <v>13.725907567567569</v>
      </c>
      <c r="AV26" s="141">
        <f>IF(AV$2&gt;Input_Tidshorisont,BlankTegn,IF(AV$2=0,SUM(Materialedata[[#This Row],[A1-A3/m²]:[A4/m²]]),
AU26+IF(AV$2=Input_Tidshorisont,SUM(Materialedata[[#This Row],[C3/m²]:[C4/m²]]),IF(MOD(AV$2,Materialedata[[#This Row],[Levetid]])=0,SUM(Materialedata[[#This Row],[A1-A3/m²]:[C4/m²]]),0))
))</f>
        <v>13.725907567567569</v>
      </c>
      <c r="AW26" s="141">
        <f>IF(AW$2&gt;Input_Tidshorisont,BlankTegn,IF(AW$2=0,SUM(Materialedata[[#This Row],[A1-A3/m²]:[A4/m²]]),
AV26+IF(AW$2=Input_Tidshorisont,SUM(Materialedata[[#This Row],[C3/m²]:[C4/m²]]),IF(MOD(AW$2,Materialedata[[#This Row],[Levetid]])=0,SUM(Materialedata[[#This Row],[A1-A3/m²]:[C4/m²]]),0))
))</f>
        <v>13.725907567567569</v>
      </c>
      <c r="AX26" s="141">
        <f>IF(AX$2&gt;Input_Tidshorisont,BlankTegn,IF(AX$2=0,SUM(Materialedata[[#This Row],[A1-A3/m²]:[A4/m²]]),
AW26+IF(AX$2=Input_Tidshorisont,SUM(Materialedata[[#This Row],[C3/m²]:[C4/m²]]),IF(MOD(AX$2,Materialedata[[#This Row],[Levetid]])=0,SUM(Materialedata[[#This Row],[A1-A3/m²]:[C4/m²]]),0))
))</f>
        <v>13.725907567567569</v>
      </c>
      <c r="AY26" s="141">
        <f>IF(AY$2&gt;Input_Tidshorisont,BlankTegn,IF(AY$2=0,SUM(Materialedata[[#This Row],[A1-A3/m²]:[A4/m²]]),
AX26+IF(AY$2=Input_Tidshorisont,SUM(Materialedata[[#This Row],[C3/m²]:[C4/m²]]),IF(MOD(AY$2,Materialedata[[#This Row],[Levetid]])=0,SUM(Materialedata[[#This Row],[A1-A3/m²]:[C4/m²]]),0))
))</f>
        <v>13.725907567567569</v>
      </c>
      <c r="AZ26" s="141">
        <f>IF(AZ$2&gt;Input_Tidshorisont,BlankTegn,IF(AZ$2=0,SUM(Materialedata[[#This Row],[A1-A3/m²]:[A4/m²]]),
AY26+IF(AZ$2=Input_Tidshorisont,SUM(Materialedata[[#This Row],[C3/m²]:[C4/m²]]),IF(MOD(AZ$2,Materialedata[[#This Row],[Levetid]])=0,SUM(Materialedata[[#This Row],[A1-A3/m²]:[C4/m²]]),0))
))</f>
        <v>13.725907567567569</v>
      </c>
      <c r="BA26" s="141">
        <f>IF(BA$2&gt;Input_Tidshorisont,BlankTegn,IF(BA$2=0,SUM(Materialedata[[#This Row],[A1-A3/m²]:[A4/m²]]),
AZ26+IF(BA$2=Input_Tidshorisont,SUM(Materialedata[[#This Row],[C3/m²]:[C4/m²]]),IF(MOD(BA$2,Materialedata[[#This Row],[Levetid]])=0,SUM(Materialedata[[#This Row],[A1-A3/m²]:[C4/m²]]),0))
))</f>
        <v>13.725907567567569</v>
      </c>
      <c r="BB26" s="141">
        <f>IF(BB$2&gt;Input_Tidshorisont,BlankTegn,IF(BB$2=0,SUM(Materialedata[[#This Row],[A1-A3/m²]:[A4/m²]]),
BA26+IF(BB$2=Input_Tidshorisont,SUM(Materialedata[[#This Row],[C3/m²]:[C4/m²]]),IF(MOD(BB$2,Materialedata[[#This Row],[Levetid]])=0,SUM(Materialedata[[#This Row],[A1-A3/m²]:[C4/m²]]),0))
))</f>
        <v>13.725907567567569</v>
      </c>
      <c r="BC26" s="141">
        <f>IF(BC$2&gt;Input_Tidshorisont,BlankTegn,IF(BC$2=0,SUM(Materialedata[[#This Row],[A1-A3/m²]:[A4/m²]]),
BB26+IF(BC$2=Input_Tidshorisont,SUM(Materialedata[[#This Row],[C3/m²]:[C4/m²]]),IF(MOD(BC$2,Materialedata[[#This Row],[Levetid]])=0,SUM(Materialedata[[#This Row],[A1-A3/m²]:[C4/m²]]),0))
))</f>
        <v>13.725907567567569</v>
      </c>
      <c r="BD26" s="141">
        <f>IF(BD$2&gt;Input_Tidshorisont,BlankTegn,IF(BD$2=0,SUM(Materialedata[[#This Row],[A1-A3/m²]:[A4/m²]]),
BC26+IF(BD$2=Input_Tidshorisont,SUM(Materialedata[[#This Row],[C3/m²]:[C4/m²]]),IF(MOD(BD$2,Materialedata[[#This Row],[Levetid]])=0,SUM(Materialedata[[#This Row],[A1-A3/m²]:[C4/m²]]),0))
))</f>
        <v>13.725907567567569</v>
      </c>
      <c r="BE26" s="141">
        <f>IF(BE$2&gt;Input_Tidshorisont,BlankTegn,IF(BE$2=0,SUM(Materialedata[[#This Row],[A1-A3/m²]:[A4/m²]]),
BD26+IF(BE$2=Input_Tidshorisont,SUM(Materialedata[[#This Row],[C3/m²]:[C4/m²]]),IF(MOD(BE$2,Materialedata[[#This Row],[Levetid]])=0,SUM(Materialedata[[#This Row],[A1-A3/m²]:[C4/m²]]),0))
))</f>
        <v>13.725907567567569</v>
      </c>
      <c r="BF26" s="141">
        <f>IF(BF$2&gt;Input_Tidshorisont,BlankTegn,IF(BF$2=0,SUM(Materialedata[[#This Row],[A1-A3/m²]:[A4/m²]]),
BE26+IF(BF$2=Input_Tidshorisont,SUM(Materialedata[[#This Row],[C3/m²]:[C4/m²]]),IF(MOD(BF$2,Materialedata[[#This Row],[Levetid]])=0,SUM(Materialedata[[#This Row],[A1-A3/m²]:[C4/m²]]),0))
))</f>
        <v>13.725907567567569</v>
      </c>
      <c r="BG26" s="141">
        <f>IF(BG$2&gt;Input_Tidshorisont,BlankTegn,IF(BG$2=0,SUM(Materialedata[[#This Row],[A1-A3/m²]:[A4/m²]]),
BF26+IF(BG$2=Input_Tidshorisont,SUM(Materialedata[[#This Row],[C3/m²]:[C4/m²]]),IF(MOD(BG$2,Materialedata[[#This Row],[Levetid]])=0,SUM(Materialedata[[#This Row],[A1-A3/m²]:[C4/m²]]),0))
))</f>
        <v>13.725907567567569</v>
      </c>
      <c r="BH26" s="141">
        <f>IF(BH$2&gt;Input_Tidshorisont,BlankTegn,IF(BH$2=0,SUM(Materialedata[[#This Row],[A1-A3/m²]:[A4/m²]]),
BG26+IF(BH$2=Input_Tidshorisont,SUM(Materialedata[[#This Row],[C3/m²]:[C4/m²]]),IF(MOD(BH$2,Materialedata[[#This Row],[Levetid]])=0,SUM(Materialedata[[#This Row],[A1-A3/m²]:[C4/m²]]),0))
))</f>
        <v>13.725907567567569</v>
      </c>
      <c r="BI26" s="141">
        <f>IF(BI$2&gt;Input_Tidshorisont,BlankTegn,IF(BI$2=0,SUM(Materialedata[[#This Row],[A1-A3/m²]:[A4/m²]]),
BH26+IF(BI$2=Input_Tidshorisont,SUM(Materialedata[[#This Row],[C3/m²]:[C4/m²]]),IF(MOD(BI$2,Materialedata[[#This Row],[Levetid]])=0,SUM(Materialedata[[#This Row],[A1-A3/m²]:[C4/m²]]),0))
))</f>
        <v>13.725907567567569</v>
      </c>
      <c r="BJ26" s="141">
        <f>IF(BJ$2&gt;Input_Tidshorisont,BlankTegn,IF(BJ$2=0,SUM(Materialedata[[#This Row],[A1-A3/m²]:[A4/m²]]),
BI26+IF(BJ$2=Input_Tidshorisont,SUM(Materialedata[[#This Row],[C3/m²]:[C4/m²]]),IF(MOD(BJ$2,Materialedata[[#This Row],[Levetid]])=0,SUM(Materialedata[[#This Row],[A1-A3/m²]:[C4/m²]]),0))
))</f>
        <v>13.725907567567569</v>
      </c>
      <c r="BK26" s="141">
        <f>IF(BK$2&gt;Input_Tidshorisont,BlankTegn,IF(BK$2=0,SUM(Materialedata[[#This Row],[A1-A3/m²]:[A4/m²]]),
BJ26+IF(BK$2=Input_Tidshorisont,SUM(Materialedata[[#This Row],[C3/m²]:[C4/m²]]),IF(MOD(BK$2,Materialedata[[#This Row],[Levetid]])=0,SUM(Materialedata[[#This Row],[A1-A3/m²]:[C4/m²]]),0))
))</f>
        <v>13.725907567567569</v>
      </c>
      <c r="BL26" s="141">
        <f>IF(BL$2&gt;Input_Tidshorisont,BlankTegn,IF(BL$2=0,SUM(Materialedata[[#This Row],[A1-A3/m²]:[A4/m²]]),
BK26+IF(BL$2=Input_Tidshorisont,SUM(Materialedata[[#This Row],[C3/m²]:[C4/m²]]),IF(MOD(BL$2,Materialedata[[#This Row],[Levetid]])=0,SUM(Materialedata[[#This Row],[A1-A3/m²]:[C4/m²]]),0))
))</f>
        <v>13.725907567567569</v>
      </c>
      <c r="BM26" s="141">
        <f>IF(BM$2&gt;Input_Tidshorisont,BlankTegn,IF(BM$2=0,SUM(Materialedata[[#This Row],[A1-A3/m²]:[A4/m²]]),
BL26+IF(BM$2=Input_Tidshorisont,SUM(Materialedata[[#This Row],[C3/m²]:[C4/m²]]),IF(MOD(BM$2,Materialedata[[#This Row],[Levetid]])=0,SUM(Materialedata[[#This Row],[A1-A3/m²]:[C4/m²]]),0))
))</f>
        <v>13.725907567567569</v>
      </c>
      <c r="BN26" s="141">
        <f>IF(BN$2&gt;Input_Tidshorisont,BlankTegn,IF(BN$2=0,SUM(Materialedata[[#This Row],[A1-A3/m²]:[A4/m²]]),
BM26+IF(BN$2=Input_Tidshorisont,SUM(Materialedata[[#This Row],[C3/m²]:[C4/m²]]),IF(MOD(BN$2,Materialedata[[#This Row],[Levetid]])=0,SUM(Materialedata[[#This Row],[A1-A3/m²]:[C4/m²]]),0))
))</f>
        <v>13.725907567567569</v>
      </c>
      <c r="BO26" s="141">
        <f>IF(BO$2&gt;Input_Tidshorisont,BlankTegn,IF(BO$2=0,SUM(Materialedata[[#This Row],[A1-A3/m²]:[A4/m²]]),
BN26+IF(BO$2=Input_Tidshorisont,SUM(Materialedata[[#This Row],[C3/m²]:[C4/m²]]),IF(MOD(BO$2,Materialedata[[#This Row],[Levetid]])=0,SUM(Materialedata[[#This Row],[A1-A3/m²]:[C4/m²]]),0))
))</f>
        <v>13.725907567567569</v>
      </c>
      <c r="BP26" s="141">
        <f>IF(BP$2&gt;Input_Tidshorisont,BlankTegn,IF(BP$2=0,SUM(Materialedata[[#This Row],[A1-A3/m²]:[A4/m²]]),
BO26+IF(BP$2=Input_Tidshorisont,SUM(Materialedata[[#This Row],[C3/m²]:[C4/m²]]),IF(MOD(BP$2,Materialedata[[#This Row],[Levetid]])=0,SUM(Materialedata[[#This Row],[A1-A3/m²]:[C4/m²]]),0))
))</f>
        <v>13.725907567567569</v>
      </c>
      <c r="BQ26" s="141">
        <f>IF(BQ$2&gt;Input_Tidshorisont,BlankTegn,IF(BQ$2=0,SUM(Materialedata[[#This Row],[A1-A3/m²]:[A4/m²]]),
BP26+IF(BQ$2=Input_Tidshorisont,SUM(Materialedata[[#This Row],[C3/m²]:[C4/m²]]),IF(MOD(BQ$2,Materialedata[[#This Row],[Levetid]])=0,SUM(Materialedata[[#This Row],[A1-A3/m²]:[C4/m²]]),0))
))</f>
        <v>13.725907567567569</v>
      </c>
      <c r="BR26" s="141">
        <f>IF(BR$2&gt;Input_Tidshorisont,BlankTegn,IF(BR$2=0,SUM(Materialedata[[#This Row],[A1-A3/m²]:[A4/m²]]),
BQ26+IF(BR$2=Input_Tidshorisont,SUM(Materialedata[[#This Row],[C3/m²]:[C4/m²]]),IF(MOD(BR$2,Materialedata[[#This Row],[Levetid]])=0,SUM(Materialedata[[#This Row],[A1-A3/m²]:[C4/m²]]),0))
))</f>
        <v>13.725907567567569</v>
      </c>
      <c r="BS26" s="141">
        <f>IF(BS$2&gt;Input_Tidshorisont,BlankTegn,IF(BS$2=0,SUM(Materialedata[[#This Row],[A1-A3/m²]:[A4/m²]]),
BR26+IF(BS$2=Input_Tidshorisont,SUM(Materialedata[[#This Row],[C3/m²]:[C4/m²]]),IF(MOD(BS$2,Materialedata[[#This Row],[Levetid]])=0,SUM(Materialedata[[#This Row],[A1-A3/m²]:[C4/m²]]),0))
))</f>
        <v>13.725907567567569</v>
      </c>
      <c r="BT26" s="141">
        <f>IF(BT$2&gt;Input_Tidshorisont,BlankTegn,IF(BT$2=0,SUM(Materialedata[[#This Row],[A1-A3/m²]:[A4/m²]]),
BS26+IF(BT$2=Input_Tidshorisont,SUM(Materialedata[[#This Row],[C3/m²]:[C4/m²]]),IF(MOD(BT$2,Materialedata[[#This Row],[Levetid]])=0,SUM(Materialedata[[#This Row],[A1-A3/m²]:[C4/m²]]),0))
))</f>
        <v>13.725907567567569</v>
      </c>
      <c r="BU26" s="141">
        <f>IF(BU$2&gt;Input_Tidshorisont,BlankTegn,IF(BU$2=0,SUM(Materialedata[[#This Row],[A1-A3/m²]:[A4/m²]]),
BT26+IF(BU$2=Input_Tidshorisont,SUM(Materialedata[[#This Row],[C3/m²]:[C4/m²]]),IF(MOD(BU$2,Materialedata[[#This Row],[Levetid]])=0,SUM(Materialedata[[#This Row],[A1-A3/m²]:[C4/m²]]),0))
))</f>
        <v>13.725907567567569</v>
      </c>
      <c r="BV26" s="141">
        <f>IF(BV$2&gt;Input_Tidshorisont,BlankTegn,IF(BV$2=0,SUM(Materialedata[[#This Row],[A1-A3/m²]:[A4/m²]]),
BU26+IF(BV$2=Input_Tidshorisont,SUM(Materialedata[[#This Row],[C3/m²]:[C4/m²]]),IF(MOD(BV$2,Materialedata[[#This Row],[Levetid]])=0,SUM(Materialedata[[#This Row],[A1-A3/m²]:[C4/m²]]),0))
))</f>
        <v>13.725907567567569</v>
      </c>
      <c r="BW26" s="141">
        <f>IF(BW$2&gt;Input_Tidshorisont,BlankTegn,IF(BW$2=0,SUM(Materialedata[[#This Row],[A1-A3/m²]:[A4/m²]]),
BV26+IF(BW$2=Input_Tidshorisont,SUM(Materialedata[[#This Row],[C3/m²]:[C4/m²]]),IF(MOD(BW$2,Materialedata[[#This Row],[Levetid]])=0,SUM(Materialedata[[#This Row],[A1-A3/m²]:[C4/m²]]),0))
))</f>
        <v>13.725907567567569</v>
      </c>
      <c r="BX26" s="141">
        <f>IF(BX$2&gt;Input_Tidshorisont,BlankTegn,IF(BX$2=0,SUM(Materialedata[[#This Row],[A1-A3/m²]:[A4/m²]]),
BW26+IF(BX$2=Input_Tidshorisont,SUM(Materialedata[[#This Row],[C3/m²]:[C4/m²]]),IF(MOD(BX$2,Materialedata[[#This Row],[Levetid]])=0,SUM(Materialedata[[#This Row],[A1-A3/m²]:[C4/m²]]),0))
))</f>
        <v>13.725907567567569</v>
      </c>
      <c r="BY26" s="141">
        <f>IF(BY$2&gt;Input_Tidshorisont,BlankTegn,IF(BY$2=0,SUM(Materialedata[[#This Row],[A1-A3/m²]:[A4/m²]]),
BX26+IF(BY$2=Input_Tidshorisont,SUM(Materialedata[[#This Row],[C3/m²]:[C4/m²]]),IF(MOD(BY$2,Materialedata[[#This Row],[Levetid]])=0,SUM(Materialedata[[#This Row],[A1-A3/m²]:[C4/m²]]),0))
))</f>
        <v>13.725907567567569</v>
      </c>
      <c r="BZ26" s="141">
        <f>IF(BZ$2&gt;Input_Tidshorisont,BlankTegn,IF(BZ$2=0,SUM(Materialedata[[#This Row],[A1-A3/m²]:[A4/m²]]),
BY26+IF(BZ$2=Input_Tidshorisont,SUM(Materialedata[[#This Row],[C3/m²]:[C4/m²]]),IF(MOD(BZ$2,Materialedata[[#This Row],[Levetid]])=0,SUM(Materialedata[[#This Row],[A1-A3/m²]:[C4/m²]]),0))
))</f>
        <v>13.725907567567569</v>
      </c>
      <c r="CA26" s="141">
        <f>IF(CA$2&gt;Input_Tidshorisont,BlankTegn,IF(CA$2=0,SUM(Materialedata[[#This Row],[A1-A3/m²]:[A4/m²]]),
BZ26+IF(CA$2=Input_Tidshorisont,SUM(Materialedata[[#This Row],[C3/m²]:[C4/m²]]),IF(MOD(CA$2,Materialedata[[#This Row],[Levetid]])=0,SUM(Materialedata[[#This Row],[A1-A3/m²]:[C4/m²]]),0))
))</f>
        <v>13.725907567567569</v>
      </c>
      <c r="CB26" s="141">
        <f>IF(CB$2&gt;Input_Tidshorisont,BlankTegn,IF(CB$2=0,SUM(Materialedata[[#This Row],[A1-A3/m²]:[A4/m²]]),
CA26+IF(CB$2=Input_Tidshorisont,SUM(Materialedata[[#This Row],[C3/m²]:[C4/m²]]),IF(MOD(CB$2,Materialedata[[#This Row],[Levetid]])=0,SUM(Materialedata[[#This Row],[A1-A3/m²]:[C4/m²]]),0))
))</f>
        <v>13.725907567567569</v>
      </c>
      <c r="CC26" s="141">
        <f>IF(CC$2&gt;Input_Tidshorisont,BlankTegn,IF(CC$2=0,SUM(Materialedata[[#This Row],[A1-A3/m²]:[A4/m²]]),
CB26+IF(CC$2=Input_Tidshorisont,SUM(Materialedata[[#This Row],[C3/m²]:[C4/m²]]),IF(MOD(CC$2,Materialedata[[#This Row],[Levetid]])=0,SUM(Materialedata[[#This Row],[A1-A3/m²]:[C4/m²]]),0))
))</f>
        <v>13.725907567567569</v>
      </c>
      <c r="CD26" s="141">
        <f>IF(CD$2&gt;Input_Tidshorisont,BlankTegn,IF(CD$2=0,SUM(Materialedata[[#This Row],[A1-A3/m²]:[A4/m²]]),
CC26+IF(CD$2=Input_Tidshorisont,SUM(Materialedata[[#This Row],[C3/m²]:[C4/m²]]),IF(MOD(CD$2,Materialedata[[#This Row],[Levetid]])=0,SUM(Materialedata[[#This Row],[A1-A3/m²]:[C4/m²]]),0))
))</f>
        <v>13.725907567567569</v>
      </c>
      <c r="CE26" s="141">
        <f>IF(CE$2&gt;Input_Tidshorisont,BlankTegn,IF(CE$2=0,SUM(Materialedata[[#This Row],[A1-A3/m²]:[A4/m²]]),
CD26+IF(CE$2=Input_Tidshorisont,SUM(Materialedata[[#This Row],[C3/m²]:[C4/m²]]),IF(MOD(CE$2,Materialedata[[#This Row],[Levetid]])=0,SUM(Materialedata[[#This Row],[A1-A3/m²]:[C4/m²]]),0))
))</f>
        <v>13.725907567567569</v>
      </c>
      <c r="CF26" s="141">
        <f>IF(CF$2&gt;Input_Tidshorisont,BlankTegn,IF(CF$2=0,SUM(Materialedata[[#This Row],[A1-A3/m²]:[A4/m²]]),
CE26+IF(CF$2=Input_Tidshorisont,SUM(Materialedata[[#This Row],[C3/m²]:[C4/m²]]),IF(MOD(CF$2,Materialedata[[#This Row],[Levetid]])=0,SUM(Materialedata[[#This Row],[A1-A3/m²]:[C4/m²]]),0))
))</f>
        <v>13.725907567567569</v>
      </c>
      <c r="CG26" s="141">
        <f>IF(CG$2&gt;Input_Tidshorisont,BlankTegn,IF(CG$2=0,SUM(Materialedata[[#This Row],[A1-A3/m²]:[A4/m²]]),
CF26+IF(CG$2=Input_Tidshorisont,SUM(Materialedata[[#This Row],[C3/m²]:[C4/m²]]),IF(MOD(CG$2,Materialedata[[#This Row],[Levetid]])=0,SUM(Materialedata[[#This Row],[A1-A3/m²]:[C4/m²]]),0))
))</f>
        <v>13.725907567567569</v>
      </c>
      <c r="CH26" s="141">
        <f>IF(CH$2&gt;Input_Tidshorisont,BlankTegn,IF(CH$2=0,SUM(Materialedata[[#This Row],[A1-A3/m²]:[A4/m²]]),
CG26+IF(CH$2=Input_Tidshorisont,SUM(Materialedata[[#This Row],[C3/m²]:[C4/m²]]),IF(MOD(CH$2,Materialedata[[#This Row],[Levetid]])=0,SUM(Materialedata[[#This Row],[A1-A3/m²]:[C4/m²]]),0))
))</f>
        <v>23.83450810810811</v>
      </c>
      <c r="CI26" s="141" t="str">
        <f>IF(CI$2&gt;Input_Tidshorisont,BlankTegn,IF(CI$2=0,SUM(Materialedata[[#This Row],[A1-A3/m²]:[A4/m²]]),
CH26+IF(CI$2=Input_Tidshorisont,SUM(Materialedata[[#This Row],[C3/m²]:[C4/m²]]),IF(MOD(CI$2,Materialedata[[#This Row],[Levetid]])=0,SUM(Materialedata[[#This Row],[A1-A3/m²]:[C4/m²]]),0))
))</f>
        <v>.</v>
      </c>
      <c r="CJ26" s="141" t="str">
        <f>IF(CJ$2&gt;Input_Tidshorisont,BlankTegn,IF(CJ$2=0,SUM(Materialedata[[#This Row],[A1-A3/m²]:[A4/m²]]),
CI26+IF(CJ$2=Input_Tidshorisont,SUM(Materialedata[[#This Row],[C3/m²]:[C4/m²]]),IF(MOD(CJ$2,Materialedata[[#This Row],[Levetid]])=0,SUM(Materialedata[[#This Row],[A1-A3/m²]:[C4/m²]]),0))
))</f>
        <v>.</v>
      </c>
      <c r="CK26" s="141" t="str">
        <f>IF(CK$2&gt;Input_Tidshorisont,BlankTegn,IF(CK$2=0,SUM(Materialedata[[#This Row],[A1-A3/m²]:[A4/m²]]),
CJ26+IF(CK$2=Input_Tidshorisont,SUM(Materialedata[[#This Row],[C3/m²]:[C4/m²]]),IF(MOD(CK$2,Materialedata[[#This Row],[Levetid]])=0,SUM(Materialedata[[#This Row],[A1-A3/m²]:[C4/m²]]),0))
))</f>
        <v>.</v>
      </c>
      <c r="CL26" s="141" t="str">
        <f>IF(CL$2&gt;Input_Tidshorisont,BlankTegn,IF(CL$2=0,SUM(Materialedata[[#This Row],[A1-A3/m²]:[A4/m²]]),
CK26+IF(CL$2=Input_Tidshorisont,SUM(Materialedata[[#This Row],[C3/m²]:[C4/m²]]),IF(MOD(CL$2,Materialedata[[#This Row],[Levetid]])=0,SUM(Materialedata[[#This Row],[A1-A3/m²]:[C4/m²]]),0))
))</f>
        <v>.</v>
      </c>
      <c r="CM26" s="141" t="str">
        <f>IF(CM$2&gt;Input_Tidshorisont,BlankTegn,IF(CM$2=0,SUM(Materialedata[[#This Row],[A1-A3/m²]:[A4/m²]]),
CL26+IF(CM$2=Input_Tidshorisont,SUM(Materialedata[[#This Row],[C3/m²]:[C4/m²]]),IF(MOD(CM$2,Materialedata[[#This Row],[Levetid]])=0,SUM(Materialedata[[#This Row],[A1-A3/m²]:[C4/m²]]),0))
))</f>
        <v>.</v>
      </c>
      <c r="CN26" s="141" t="str">
        <f>IF(CN$2&gt;Input_Tidshorisont,BlankTegn,IF(CN$2=0,SUM(Materialedata[[#This Row],[A1-A3/m²]:[A4/m²]]),
CM26+IF(CN$2=Input_Tidshorisont,SUM(Materialedata[[#This Row],[C3/m²]:[C4/m²]]),IF(MOD(CN$2,Materialedata[[#This Row],[Levetid]])=0,SUM(Materialedata[[#This Row],[A1-A3/m²]:[C4/m²]]),0))
))</f>
        <v>.</v>
      </c>
      <c r="CO26" s="141" t="str">
        <f>IF(CO$2&gt;Input_Tidshorisont,BlankTegn,IF(CO$2=0,SUM(Materialedata[[#This Row],[A1-A3/m²]:[A4/m²]]),
CN26+IF(CO$2=Input_Tidshorisont,SUM(Materialedata[[#This Row],[C3/m²]:[C4/m²]]),IF(MOD(CO$2,Materialedata[[#This Row],[Levetid]])=0,SUM(Materialedata[[#This Row],[A1-A3/m²]:[C4/m²]]),0))
))</f>
        <v>.</v>
      </c>
      <c r="CP26" s="141" t="str">
        <f>IF(CP$2&gt;Input_Tidshorisont,BlankTegn,IF(CP$2=0,SUM(Materialedata[[#This Row],[A1-A3/m²]:[A4/m²]]),
CO26+IF(CP$2=Input_Tidshorisont,SUM(Materialedata[[#This Row],[C3/m²]:[C4/m²]]),IF(MOD(CP$2,Materialedata[[#This Row],[Levetid]])=0,SUM(Materialedata[[#This Row],[A1-A3/m²]:[C4/m²]]),0))
))</f>
        <v>.</v>
      </c>
      <c r="CQ26" s="141" t="str">
        <f>IF(CQ$2&gt;Input_Tidshorisont,BlankTegn,IF(CQ$2=0,SUM(Materialedata[[#This Row],[A1-A3/m²]:[A4/m²]]),
CP26+IF(CQ$2=Input_Tidshorisont,SUM(Materialedata[[#This Row],[C3/m²]:[C4/m²]]),IF(MOD(CQ$2,Materialedata[[#This Row],[Levetid]])=0,SUM(Materialedata[[#This Row],[A1-A3/m²]:[C4/m²]]),0))
))</f>
        <v>.</v>
      </c>
      <c r="CR26" s="141" t="str">
        <f>IF(CR$2&gt;Input_Tidshorisont,BlankTegn,IF(CR$2=0,SUM(Materialedata[[#This Row],[A1-A3/m²]:[A4/m²]]),
CQ26+IF(CR$2=Input_Tidshorisont,SUM(Materialedata[[#This Row],[C3/m²]:[C4/m²]]),IF(MOD(CR$2,Materialedata[[#This Row],[Levetid]])=0,SUM(Materialedata[[#This Row],[A1-A3/m²]:[C4/m²]]),0))
))</f>
        <v>.</v>
      </c>
      <c r="CS26" s="141" t="str">
        <f>IF(CS$2&gt;Input_Tidshorisont,BlankTegn,IF(CS$2=0,SUM(Materialedata[[#This Row],[A1-A3/m²]:[A4/m²]]),
CR26+IF(CS$2=Input_Tidshorisont,SUM(Materialedata[[#This Row],[C3/m²]:[C4/m²]]),IF(MOD(CS$2,Materialedata[[#This Row],[Levetid]])=0,SUM(Materialedata[[#This Row],[A1-A3/m²]:[C4/m²]]),0))
))</f>
        <v>.</v>
      </c>
      <c r="CT26" s="141" t="str">
        <f>IF(CT$2&gt;Input_Tidshorisont,BlankTegn,IF(CT$2=0,SUM(Materialedata[[#This Row],[A1-A3/m²]:[A4/m²]]),
CS26+IF(CT$2=Input_Tidshorisont,SUM(Materialedata[[#This Row],[C3/m²]:[C4/m²]]),IF(MOD(CT$2,Materialedata[[#This Row],[Levetid]])=0,SUM(Materialedata[[#This Row],[A1-A3/m²]:[C4/m²]]),0))
))</f>
        <v>.</v>
      </c>
      <c r="CU26" s="141" t="str">
        <f>IF(CU$2&gt;Input_Tidshorisont,BlankTegn,IF(CU$2=0,SUM(Materialedata[[#This Row],[A1-A3/m²]:[A4/m²]]),
CT26+IF(CU$2=Input_Tidshorisont,SUM(Materialedata[[#This Row],[C3/m²]:[C4/m²]]),IF(MOD(CU$2,Materialedata[[#This Row],[Levetid]])=0,SUM(Materialedata[[#This Row],[A1-A3/m²]:[C4/m²]]),0))
))</f>
        <v>.</v>
      </c>
      <c r="CV26" s="141" t="str">
        <f>IF(CV$2&gt;Input_Tidshorisont,BlankTegn,IF(CV$2=0,SUM(Materialedata[[#This Row],[A1-A3/m²]:[A4/m²]]),
CU26+IF(CV$2=Input_Tidshorisont,SUM(Materialedata[[#This Row],[C3/m²]:[C4/m²]]),IF(MOD(CV$2,Materialedata[[#This Row],[Levetid]])=0,SUM(Materialedata[[#This Row],[A1-A3/m²]:[C4/m²]]),0))
))</f>
        <v>.</v>
      </c>
      <c r="CW26" s="141" t="str">
        <f>IF(CW$2&gt;Input_Tidshorisont,BlankTegn,IF(CW$2=0,SUM(Materialedata[[#This Row],[A1-A3/m²]:[A4/m²]]),
CV26+IF(CW$2=Input_Tidshorisont,SUM(Materialedata[[#This Row],[C3/m²]:[C4/m²]]),IF(MOD(CW$2,Materialedata[[#This Row],[Levetid]])=0,SUM(Materialedata[[#This Row],[A1-A3/m²]:[C4/m²]]),0))
))</f>
        <v>.</v>
      </c>
      <c r="CX26" s="141" t="str">
        <f>IF(CX$2&gt;Input_Tidshorisont,BlankTegn,IF(CX$2=0,SUM(Materialedata[[#This Row],[A1-A3/m²]:[A4/m²]]),
CW26+IF(CX$2=Input_Tidshorisont,SUM(Materialedata[[#This Row],[C3/m²]:[C4/m²]]),IF(MOD(CX$2,Materialedata[[#This Row],[Levetid]])=0,SUM(Materialedata[[#This Row],[A1-A3/m²]:[C4/m²]]),0))
))</f>
        <v>.</v>
      </c>
      <c r="CY26" s="141" t="str">
        <f>IF(CY$2&gt;Input_Tidshorisont,BlankTegn,IF(CY$2=0,SUM(Materialedata[[#This Row],[A1-A3/m²]:[A4/m²]]),
CX26+IF(CY$2=Input_Tidshorisont,SUM(Materialedata[[#This Row],[C3/m²]:[C4/m²]]),IF(MOD(CY$2,Materialedata[[#This Row],[Levetid]])=0,SUM(Materialedata[[#This Row],[A1-A3/m²]:[C4/m²]]),0))
))</f>
        <v>.</v>
      </c>
      <c r="CZ26" s="141" t="str">
        <f>IF(CZ$2&gt;Input_Tidshorisont,BlankTegn,IF(CZ$2=0,SUM(Materialedata[[#This Row],[A1-A3/m²]:[A4/m²]]),
CY26+IF(CZ$2=Input_Tidshorisont,SUM(Materialedata[[#This Row],[C3/m²]:[C4/m²]]),IF(MOD(CZ$2,Materialedata[[#This Row],[Levetid]])=0,SUM(Materialedata[[#This Row],[A1-A3/m²]:[C4/m²]]),0))
))</f>
        <v>.</v>
      </c>
      <c r="DA26" s="141" t="str">
        <f>IF(DA$2&gt;Input_Tidshorisont,BlankTegn,IF(DA$2=0,SUM(Materialedata[[#This Row],[A1-A3/m²]:[A4/m²]]),
CZ26+IF(DA$2=Input_Tidshorisont,SUM(Materialedata[[#This Row],[C3/m²]:[C4/m²]]),IF(MOD(DA$2,Materialedata[[#This Row],[Levetid]])=0,SUM(Materialedata[[#This Row],[A1-A3/m²]:[C4/m²]]),0))
))</f>
        <v>.</v>
      </c>
      <c r="DB26" s="141" t="str">
        <f>IF(DB$2&gt;Input_Tidshorisont,BlankTegn,IF(DB$2=0,SUM(Materialedata[[#This Row],[A1-A3/m²]:[A4/m²]]),
DA26+IF(DB$2=Input_Tidshorisont,SUM(Materialedata[[#This Row],[C3/m²]:[C4/m²]]),IF(MOD(DB$2,Materialedata[[#This Row],[Levetid]])=0,SUM(Materialedata[[#This Row],[A1-A3/m²]:[C4/m²]]),0))
))</f>
        <v>.</v>
      </c>
      <c r="DC26" s="141" t="str">
        <f>IF(DC$2&gt;Input_Tidshorisont,BlankTegn,IF(DC$2=0,SUM(Materialedata[[#This Row],[A1-A3/m²]:[A4/m²]]),
DB26+IF(DC$2=Input_Tidshorisont,SUM(Materialedata[[#This Row],[C3/m²]:[C4/m²]]),IF(MOD(DC$2,Materialedata[[#This Row],[Levetid]])=0,SUM(Materialedata[[#This Row],[A1-A3/m²]:[C4/m²]]),0))
))</f>
        <v>.</v>
      </c>
      <c r="DD26" s="141" t="str">
        <f>IF(DD$2&gt;Input_Tidshorisont,BlankTegn,IF(DD$2=0,SUM(Materialedata[[#This Row],[A1-A3/m²]:[A4/m²]]),
DC26+IF(DD$2=Input_Tidshorisont,SUM(Materialedata[[#This Row],[C3/m²]:[C4/m²]]),IF(MOD(DD$2,Materialedata[[#This Row],[Levetid]])=0,SUM(Materialedata[[#This Row],[A1-A3/m²]:[C4/m²]]),0))
))</f>
        <v>.</v>
      </c>
      <c r="DE26" s="141" t="str">
        <f>IF(DE$2&gt;Input_Tidshorisont,BlankTegn,IF(DE$2=0,SUM(Materialedata[[#This Row],[A1-A3/m²]:[A4/m²]]),
DD26+IF(DE$2=Input_Tidshorisont,SUM(Materialedata[[#This Row],[C3/m²]:[C4/m²]]),IF(MOD(DE$2,Materialedata[[#This Row],[Levetid]])=0,SUM(Materialedata[[#This Row],[A1-A3/m²]:[C4/m²]]),0))
))</f>
        <v>.</v>
      </c>
      <c r="DF26" s="141" t="str">
        <f>IF(DF$2&gt;Input_Tidshorisont,BlankTegn,IF(DF$2=0,SUM(Materialedata[[#This Row],[A1-A3/m²]:[A4/m²]]),
DE26+IF(DF$2=Input_Tidshorisont,SUM(Materialedata[[#This Row],[C3/m²]:[C4/m²]]),IF(MOD(DF$2,Materialedata[[#This Row],[Levetid]])=0,SUM(Materialedata[[#This Row],[A1-A3/m²]:[C4/m²]]),0))
))</f>
        <v>.</v>
      </c>
      <c r="DG26" s="141" t="str">
        <f>IF(DG$2&gt;Input_Tidshorisont,BlankTegn,IF(DG$2=0,SUM(Materialedata[[#This Row],[A1-A3/m²]:[A4/m²]]),
DF26+IF(DG$2=Input_Tidshorisont,SUM(Materialedata[[#This Row],[C3/m²]:[C4/m²]]),IF(MOD(DG$2,Materialedata[[#This Row],[Levetid]])=0,SUM(Materialedata[[#This Row],[A1-A3/m²]:[C4/m²]]),0))
))</f>
        <v>.</v>
      </c>
      <c r="DH26" s="141" t="str">
        <f>IF(DH$2&gt;Input_Tidshorisont,BlankTegn,IF(DH$2=0,SUM(Materialedata[[#This Row],[A1-A3/m²]:[A4/m²]]),
DG26+IF(DH$2=Input_Tidshorisont,SUM(Materialedata[[#This Row],[C3/m²]:[C4/m²]]),IF(MOD(DH$2,Materialedata[[#This Row],[Levetid]])=0,SUM(Materialedata[[#This Row],[A1-A3/m²]:[C4/m²]]),0))
))</f>
        <v>.</v>
      </c>
      <c r="DI26" s="141" t="str">
        <f>IF(DI$2&gt;Input_Tidshorisont,BlankTegn,IF(DI$2=0,SUM(Materialedata[[#This Row],[A1-A3/m²]:[A4/m²]]),
DH26+IF(DI$2=Input_Tidshorisont,SUM(Materialedata[[#This Row],[C3/m²]:[C4/m²]]),IF(MOD(DI$2,Materialedata[[#This Row],[Levetid]])=0,SUM(Materialedata[[#This Row],[A1-A3/m²]:[C4/m²]]),0))
))</f>
        <v>.</v>
      </c>
      <c r="DJ26" s="141" t="str">
        <f>IF(DJ$2&gt;Input_Tidshorisont,BlankTegn,IF(DJ$2=0,SUM(Materialedata[[#This Row],[A1-A3/m²]:[A4/m²]]),
DI26+IF(DJ$2=Input_Tidshorisont,SUM(Materialedata[[#This Row],[C3/m²]:[C4/m²]]),IF(MOD(DJ$2,Materialedata[[#This Row],[Levetid]])=0,SUM(Materialedata[[#This Row],[A1-A3/m²]:[C4/m²]]),0))
))</f>
        <v>.</v>
      </c>
      <c r="DK26" s="141" t="str">
        <f>IF(DK$2&gt;Input_Tidshorisont,BlankTegn,IF(DK$2=0,SUM(Materialedata[[#This Row],[A1-A3/m²]:[A4/m²]]),
DJ26+IF(DK$2=Input_Tidshorisont,SUM(Materialedata[[#This Row],[C3/m²]:[C4/m²]]),IF(MOD(DK$2,Materialedata[[#This Row],[Levetid]])=0,SUM(Materialedata[[#This Row],[A1-A3/m²]:[C4/m²]]),0))
))</f>
        <v>.</v>
      </c>
      <c r="DL26" s="141" t="str">
        <f>IF(DL$2&gt;Input_Tidshorisont,BlankTegn,IF(DL$2=0,SUM(Materialedata[[#This Row],[A1-A3/m²]:[A4/m²]]),
DK26+IF(DL$2=Input_Tidshorisont,SUM(Materialedata[[#This Row],[C3/m²]:[C4/m²]]),IF(MOD(DL$2,Materialedata[[#This Row],[Levetid]])=0,SUM(Materialedata[[#This Row],[A1-A3/m²]:[C4/m²]]),0))
))</f>
        <v>.</v>
      </c>
      <c r="DM26" s="19"/>
    </row>
    <row r="27" spans="1:117">
      <c r="A27" s="182" t="s">
        <v>248</v>
      </c>
      <c r="B27" s="182" t="s">
        <v>166</v>
      </c>
      <c r="C27" s="148" t="s">
        <v>131</v>
      </c>
      <c r="D27" s="184"/>
      <c r="E27" s="180" t="s">
        <v>164</v>
      </c>
      <c r="F27" s="182" t="s">
        <v>165</v>
      </c>
      <c r="G27" s="182">
        <v>60</v>
      </c>
      <c r="H27" s="183">
        <v>13</v>
      </c>
      <c r="I27" s="184">
        <f>0.15*1*1</f>
        <v>0.15</v>
      </c>
      <c r="J27" s="184" t="s">
        <v>232</v>
      </c>
      <c r="K27" s="182">
        <v>2.5099999999999998</v>
      </c>
      <c r="L27" s="182" t="s">
        <v>219</v>
      </c>
      <c r="M27" s="185">
        <f>IF(ISBLANK(Materialedata[[#This Row],[A4-gruppe]]),BlankTegn,INDEX(Byggeproces[GWP],MATCH(Materialedata[[#This Row],[A4-gruppe]],Byggeproces[Gruppe/Undergruppe],0)))</f>
        <v>6.0900000000000003E-2</v>
      </c>
      <c r="N27" s="182">
        <v>1.87</v>
      </c>
      <c r="O27" s="182">
        <v>9.1100000000000005E-5</v>
      </c>
      <c r="P27" s="182">
        <v>-8.7099999999999997E-2</v>
      </c>
      <c r="Q27" s="277">
        <f>Materialedata[[#This Row],[A1-A3/standardenhed]]/0.037*0.15</f>
        <v>10.175675675675675</v>
      </c>
      <c r="R27" s="278" cm="1">
        <f t="array" ref="R27">IFERROR(_xlfn.IFS(Materialedata[[#This Row],[Mængde-enhed]]="kg/m²",Materialedata[[#This Row],[A4/kg]]*Materialedata[[#This Row],[Mængde/m²]],Materialedata[[#This Row],[Mængde-enhed]]="m³/m²",Materialedata[[#This Row],[A4/kg]]*Materialedata[[#This Row],[Mængde/m²]]*Materialedata[[#This Row],[Densitet]]),"N/A")</f>
        <v>0.11875500000000001</v>
      </c>
      <c r="S27" s="277">
        <f>Materialedata[[#This Row],[C3/enhed]]/0.037*0.15</f>
        <v>7.5810810810810816</v>
      </c>
      <c r="T27" s="277">
        <f>Materialedata[[#This Row],[C4/enhed]]/0.037*0.15</f>
        <v>3.6932432432432437E-4</v>
      </c>
      <c r="U27" s="277">
        <f>Materialedata[[#This Row],[D/enhed]]/0.037*0.15</f>
        <v>-0.35310810810810811</v>
      </c>
      <c r="V27" s="150">
        <f>IFERROR(INDEX(Range_Materiale_Genbrug,MATCH(Materialedata[[#This Row],[Komponent]],Facadekomponenter,0)),BlankTegn)</f>
        <v>0</v>
      </c>
      <c r="W27" s="150">
        <f>IFERROR(1-Materialedata[[#This Row],[Genbrug]],BlankTegn)</f>
        <v>1</v>
      </c>
      <c r="X27" s="186">
        <f>IFERROR(Materialedata[[#This Row],[A1-A3/m²_nyt]]*Materialedata[[#This Row],[Nyt]],BlankTegn)</f>
        <v>10.175675675675675</v>
      </c>
      <c r="Y27" s="186">
        <f>Materialedata[[#This Row],[A4/m²_nyt]]</f>
        <v>0.11875500000000001</v>
      </c>
      <c r="Z27" s="186">
        <f>IFERROR(Materialedata[[#This Row],[C3/m²_nyt]]*Materialedata[[#This Row],[Nyt]],BlankTegn)</f>
        <v>7.5810810810810816</v>
      </c>
      <c r="AA27" s="186">
        <f>IFERROR(Materialedata[[#This Row],[C4/m²_nyt]]*Materialedata[[#This Row],[Nyt]],BlankTegn)</f>
        <v>3.6932432432432437E-4</v>
      </c>
      <c r="AB27" s="186">
        <f>IFERROR(Materialedata[[#This Row],[D/m²_nyt]]*Materialedata[[#This Row],[Nyt]],BlankTegn)</f>
        <v>-0.35310810810810811</v>
      </c>
      <c r="AC27" s="187">
        <v>238.49496940068263</v>
      </c>
      <c r="AD27" s="188" t="s">
        <v>29</v>
      </c>
      <c r="AE27" s="182">
        <v>1</v>
      </c>
      <c r="AF27" s="189">
        <f>Materialedata[[#This Row],[Pris/enhed]]*Materialedata[[#This Row],[Omregning]]</f>
        <v>238.49496940068263</v>
      </c>
      <c r="AG27" s="190">
        <v>0.01</v>
      </c>
      <c r="AH27" s="191">
        <v>1</v>
      </c>
      <c r="AI27" s="162">
        <v>0</v>
      </c>
      <c r="AJ27" s="141">
        <f>IF(AJ$2&gt;Input_Tidshorisont,BlankTegn,IF(AJ$2=0,SUM(Materialedata[[#This Row],[A1-A3/m²]:[A4/m²]]),
AI27+IF(AJ$2=Input_Tidshorisont,SUM(Materialedata[[#This Row],[C3/m²]:[C4/m²]]),IF(MOD(AJ$2,Materialedata[[#This Row],[Levetid]])=0,SUM(Materialedata[[#This Row],[A1-A3/m²]:[C4/m²]]),0))
))</f>
        <v>10.294430675675676</v>
      </c>
      <c r="AK27" s="141">
        <f>IF(AK$2&gt;Input_Tidshorisont,BlankTegn,IF(AK$2=0,SUM(Materialedata[[#This Row],[A1-A3/m²]:[A4/m²]]),
AJ27+IF(AK$2=Input_Tidshorisont,SUM(Materialedata[[#This Row],[C3/m²]:[C4/m²]]),IF(MOD(AK$2,Materialedata[[#This Row],[Levetid]])=0,SUM(Materialedata[[#This Row],[A1-A3/m²]:[C4/m²]]),0))
))</f>
        <v>10.294430675675676</v>
      </c>
      <c r="AL27" s="141">
        <f>IF(AL$2&gt;Input_Tidshorisont,BlankTegn,IF(AL$2=0,SUM(Materialedata[[#This Row],[A1-A3/m²]:[A4/m²]]),
AK27+IF(AL$2=Input_Tidshorisont,SUM(Materialedata[[#This Row],[C3/m²]:[C4/m²]]),IF(MOD(AL$2,Materialedata[[#This Row],[Levetid]])=0,SUM(Materialedata[[#This Row],[A1-A3/m²]:[C4/m²]]),0))
))</f>
        <v>10.294430675675676</v>
      </c>
      <c r="AM27" s="141">
        <f>IF(AM$2&gt;Input_Tidshorisont,BlankTegn,IF(AM$2=0,SUM(Materialedata[[#This Row],[A1-A3/m²]:[A4/m²]]),
AL27+IF(AM$2=Input_Tidshorisont,SUM(Materialedata[[#This Row],[C3/m²]:[C4/m²]]),IF(MOD(AM$2,Materialedata[[#This Row],[Levetid]])=0,SUM(Materialedata[[#This Row],[A1-A3/m²]:[C4/m²]]),0))
))</f>
        <v>10.294430675675676</v>
      </c>
      <c r="AN27" s="141">
        <f>IF(AN$2&gt;Input_Tidshorisont,BlankTegn,IF(AN$2=0,SUM(Materialedata[[#This Row],[A1-A3/m²]:[A4/m²]]),
AM27+IF(AN$2=Input_Tidshorisont,SUM(Materialedata[[#This Row],[C3/m²]:[C4/m²]]),IF(MOD(AN$2,Materialedata[[#This Row],[Levetid]])=0,SUM(Materialedata[[#This Row],[A1-A3/m²]:[C4/m²]]),0))
))</f>
        <v>10.294430675675676</v>
      </c>
      <c r="AO27" s="141">
        <f>IF(AO$2&gt;Input_Tidshorisont,BlankTegn,IF(AO$2=0,SUM(Materialedata[[#This Row],[A1-A3/m²]:[A4/m²]]),
AN27+IF(AO$2=Input_Tidshorisont,SUM(Materialedata[[#This Row],[C3/m²]:[C4/m²]]),IF(MOD(AO$2,Materialedata[[#This Row],[Levetid]])=0,SUM(Materialedata[[#This Row],[A1-A3/m²]:[C4/m²]]),0))
))</f>
        <v>10.294430675675676</v>
      </c>
      <c r="AP27" s="141">
        <f>IF(AP$2&gt;Input_Tidshorisont,BlankTegn,IF(AP$2=0,SUM(Materialedata[[#This Row],[A1-A3/m²]:[A4/m²]]),
AO27+IF(AP$2=Input_Tidshorisont,SUM(Materialedata[[#This Row],[C3/m²]:[C4/m²]]),IF(MOD(AP$2,Materialedata[[#This Row],[Levetid]])=0,SUM(Materialedata[[#This Row],[A1-A3/m²]:[C4/m²]]),0))
))</f>
        <v>10.294430675675676</v>
      </c>
      <c r="AQ27" s="141">
        <f>IF(AQ$2&gt;Input_Tidshorisont,BlankTegn,IF(AQ$2=0,SUM(Materialedata[[#This Row],[A1-A3/m²]:[A4/m²]]),
AP27+IF(AQ$2=Input_Tidshorisont,SUM(Materialedata[[#This Row],[C3/m²]:[C4/m²]]),IF(MOD(AQ$2,Materialedata[[#This Row],[Levetid]])=0,SUM(Materialedata[[#This Row],[A1-A3/m²]:[C4/m²]]),0))
))</f>
        <v>10.294430675675676</v>
      </c>
      <c r="AR27" s="141">
        <f>IF(AR$2&gt;Input_Tidshorisont,BlankTegn,IF(AR$2=0,SUM(Materialedata[[#This Row],[A1-A3/m²]:[A4/m²]]),
AQ27+IF(AR$2=Input_Tidshorisont,SUM(Materialedata[[#This Row],[C3/m²]:[C4/m²]]),IF(MOD(AR$2,Materialedata[[#This Row],[Levetid]])=0,SUM(Materialedata[[#This Row],[A1-A3/m²]:[C4/m²]]),0))
))</f>
        <v>10.294430675675676</v>
      </c>
      <c r="AS27" s="141">
        <f>IF(AS$2&gt;Input_Tidshorisont,BlankTegn,IF(AS$2=0,SUM(Materialedata[[#This Row],[A1-A3/m²]:[A4/m²]]),
AR27+IF(AS$2=Input_Tidshorisont,SUM(Materialedata[[#This Row],[C3/m²]:[C4/m²]]),IF(MOD(AS$2,Materialedata[[#This Row],[Levetid]])=0,SUM(Materialedata[[#This Row],[A1-A3/m²]:[C4/m²]]),0))
))</f>
        <v>10.294430675675676</v>
      </c>
      <c r="AT27" s="141">
        <f>IF(AT$2&gt;Input_Tidshorisont,BlankTegn,IF(AT$2=0,SUM(Materialedata[[#This Row],[A1-A3/m²]:[A4/m²]]),
AS27+IF(AT$2=Input_Tidshorisont,SUM(Materialedata[[#This Row],[C3/m²]:[C4/m²]]),IF(MOD(AT$2,Materialedata[[#This Row],[Levetid]])=0,SUM(Materialedata[[#This Row],[A1-A3/m²]:[C4/m²]]),0))
))</f>
        <v>10.294430675675676</v>
      </c>
      <c r="AU27" s="141">
        <f>IF(AU$2&gt;Input_Tidshorisont,BlankTegn,IF(AU$2=0,SUM(Materialedata[[#This Row],[A1-A3/m²]:[A4/m²]]),
AT27+IF(AU$2=Input_Tidshorisont,SUM(Materialedata[[#This Row],[C3/m²]:[C4/m²]]),IF(MOD(AU$2,Materialedata[[#This Row],[Levetid]])=0,SUM(Materialedata[[#This Row],[A1-A3/m²]:[C4/m²]]),0))
))</f>
        <v>10.294430675675676</v>
      </c>
      <c r="AV27" s="141">
        <f>IF(AV$2&gt;Input_Tidshorisont,BlankTegn,IF(AV$2=0,SUM(Materialedata[[#This Row],[A1-A3/m²]:[A4/m²]]),
AU27+IF(AV$2=Input_Tidshorisont,SUM(Materialedata[[#This Row],[C3/m²]:[C4/m²]]),IF(MOD(AV$2,Materialedata[[#This Row],[Levetid]])=0,SUM(Materialedata[[#This Row],[A1-A3/m²]:[C4/m²]]),0))
))</f>
        <v>10.294430675675676</v>
      </c>
      <c r="AW27" s="141">
        <f>IF(AW$2&gt;Input_Tidshorisont,BlankTegn,IF(AW$2=0,SUM(Materialedata[[#This Row],[A1-A3/m²]:[A4/m²]]),
AV27+IF(AW$2=Input_Tidshorisont,SUM(Materialedata[[#This Row],[C3/m²]:[C4/m²]]),IF(MOD(AW$2,Materialedata[[#This Row],[Levetid]])=0,SUM(Materialedata[[#This Row],[A1-A3/m²]:[C4/m²]]),0))
))</f>
        <v>10.294430675675676</v>
      </c>
      <c r="AX27" s="141">
        <f>IF(AX$2&gt;Input_Tidshorisont,BlankTegn,IF(AX$2=0,SUM(Materialedata[[#This Row],[A1-A3/m²]:[A4/m²]]),
AW27+IF(AX$2=Input_Tidshorisont,SUM(Materialedata[[#This Row],[C3/m²]:[C4/m²]]),IF(MOD(AX$2,Materialedata[[#This Row],[Levetid]])=0,SUM(Materialedata[[#This Row],[A1-A3/m²]:[C4/m²]]),0))
))</f>
        <v>10.294430675675676</v>
      </c>
      <c r="AY27" s="141">
        <f>IF(AY$2&gt;Input_Tidshorisont,BlankTegn,IF(AY$2=0,SUM(Materialedata[[#This Row],[A1-A3/m²]:[A4/m²]]),
AX27+IF(AY$2=Input_Tidshorisont,SUM(Materialedata[[#This Row],[C3/m²]:[C4/m²]]),IF(MOD(AY$2,Materialedata[[#This Row],[Levetid]])=0,SUM(Materialedata[[#This Row],[A1-A3/m²]:[C4/m²]]),0))
))</f>
        <v>10.294430675675676</v>
      </c>
      <c r="AZ27" s="141">
        <f>IF(AZ$2&gt;Input_Tidshorisont,BlankTegn,IF(AZ$2=0,SUM(Materialedata[[#This Row],[A1-A3/m²]:[A4/m²]]),
AY27+IF(AZ$2=Input_Tidshorisont,SUM(Materialedata[[#This Row],[C3/m²]:[C4/m²]]),IF(MOD(AZ$2,Materialedata[[#This Row],[Levetid]])=0,SUM(Materialedata[[#This Row],[A1-A3/m²]:[C4/m²]]),0))
))</f>
        <v>10.294430675675676</v>
      </c>
      <c r="BA27" s="141">
        <f>IF(BA$2&gt;Input_Tidshorisont,BlankTegn,IF(BA$2=0,SUM(Materialedata[[#This Row],[A1-A3/m²]:[A4/m²]]),
AZ27+IF(BA$2=Input_Tidshorisont,SUM(Materialedata[[#This Row],[C3/m²]:[C4/m²]]),IF(MOD(BA$2,Materialedata[[#This Row],[Levetid]])=0,SUM(Materialedata[[#This Row],[A1-A3/m²]:[C4/m²]]),0))
))</f>
        <v>10.294430675675676</v>
      </c>
      <c r="BB27" s="141">
        <f>IF(BB$2&gt;Input_Tidshorisont,BlankTegn,IF(BB$2=0,SUM(Materialedata[[#This Row],[A1-A3/m²]:[A4/m²]]),
BA27+IF(BB$2=Input_Tidshorisont,SUM(Materialedata[[#This Row],[C3/m²]:[C4/m²]]),IF(MOD(BB$2,Materialedata[[#This Row],[Levetid]])=0,SUM(Materialedata[[#This Row],[A1-A3/m²]:[C4/m²]]),0))
))</f>
        <v>10.294430675675676</v>
      </c>
      <c r="BC27" s="141">
        <f>IF(BC$2&gt;Input_Tidshorisont,BlankTegn,IF(BC$2=0,SUM(Materialedata[[#This Row],[A1-A3/m²]:[A4/m²]]),
BB27+IF(BC$2=Input_Tidshorisont,SUM(Materialedata[[#This Row],[C3/m²]:[C4/m²]]),IF(MOD(BC$2,Materialedata[[#This Row],[Levetid]])=0,SUM(Materialedata[[#This Row],[A1-A3/m²]:[C4/m²]]),0))
))</f>
        <v>10.294430675675676</v>
      </c>
      <c r="BD27" s="141">
        <f>IF(BD$2&gt;Input_Tidshorisont,BlankTegn,IF(BD$2=0,SUM(Materialedata[[#This Row],[A1-A3/m²]:[A4/m²]]),
BC27+IF(BD$2=Input_Tidshorisont,SUM(Materialedata[[#This Row],[C3/m²]:[C4/m²]]),IF(MOD(BD$2,Materialedata[[#This Row],[Levetid]])=0,SUM(Materialedata[[#This Row],[A1-A3/m²]:[C4/m²]]),0))
))</f>
        <v>10.294430675675676</v>
      </c>
      <c r="BE27" s="141">
        <f>IF(BE$2&gt;Input_Tidshorisont,BlankTegn,IF(BE$2=0,SUM(Materialedata[[#This Row],[A1-A3/m²]:[A4/m²]]),
BD27+IF(BE$2=Input_Tidshorisont,SUM(Materialedata[[#This Row],[C3/m²]:[C4/m²]]),IF(MOD(BE$2,Materialedata[[#This Row],[Levetid]])=0,SUM(Materialedata[[#This Row],[A1-A3/m²]:[C4/m²]]),0))
))</f>
        <v>10.294430675675676</v>
      </c>
      <c r="BF27" s="141">
        <f>IF(BF$2&gt;Input_Tidshorisont,BlankTegn,IF(BF$2=0,SUM(Materialedata[[#This Row],[A1-A3/m²]:[A4/m²]]),
BE27+IF(BF$2=Input_Tidshorisont,SUM(Materialedata[[#This Row],[C3/m²]:[C4/m²]]),IF(MOD(BF$2,Materialedata[[#This Row],[Levetid]])=0,SUM(Materialedata[[#This Row],[A1-A3/m²]:[C4/m²]]),0))
))</f>
        <v>10.294430675675676</v>
      </c>
      <c r="BG27" s="141">
        <f>IF(BG$2&gt;Input_Tidshorisont,BlankTegn,IF(BG$2=0,SUM(Materialedata[[#This Row],[A1-A3/m²]:[A4/m²]]),
BF27+IF(BG$2=Input_Tidshorisont,SUM(Materialedata[[#This Row],[C3/m²]:[C4/m²]]),IF(MOD(BG$2,Materialedata[[#This Row],[Levetid]])=0,SUM(Materialedata[[#This Row],[A1-A3/m²]:[C4/m²]]),0))
))</f>
        <v>10.294430675675676</v>
      </c>
      <c r="BH27" s="141">
        <f>IF(BH$2&gt;Input_Tidshorisont,BlankTegn,IF(BH$2=0,SUM(Materialedata[[#This Row],[A1-A3/m²]:[A4/m²]]),
BG27+IF(BH$2=Input_Tidshorisont,SUM(Materialedata[[#This Row],[C3/m²]:[C4/m²]]),IF(MOD(BH$2,Materialedata[[#This Row],[Levetid]])=0,SUM(Materialedata[[#This Row],[A1-A3/m²]:[C4/m²]]),0))
))</f>
        <v>10.294430675675676</v>
      </c>
      <c r="BI27" s="141">
        <f>IF(BI$2&gt;Input_Tidshorisont,BlankTegn,IF(BI$2=0,SUM(Materialedata[[#This Row],[A1-A3/m²]:[A4/m²]]),
BH27+IF(BI$2=Input_Tidshorisont,SUM(Materialedata[[#This Row],[C3/m²]:[C4/m²]]),IF(MOD(BI$2,Materialedata[[#This Row],[Levetid]])=0,SUM(Materialedata[[#This Row],[A1-A3/m²]:[C4/m²]]),0))
))</f>
        <v>10.294430675675676</v>
      </c>
      <c r="BJ27" s="141">
        <f>IF(BJ$2&gt;Input_Tidshorisont,BlankTegn,IF(BJ$2=0,SUM(Materialedata[[#This Row],[A1-A3/m²]:[A4/m²]]),
BI27+IF(BJ$2=Input_Tidshorisont,SUM(Materialedata[[#This Row],[C3/m²]:[C4/m²]]),IF(MOD(BJ$2,Materialedata[[#This Row],[Levetid]])=0,SUM(Materialedata[[#This Row],[A1-A3/m²]:[C4/m²]]),0))
))</f>
        <v>10.294430675675676</v>
      </c>
      <c r="BK27" s="141">
        <f>IF(BK$2&gt;Input_Tidshorisont,BlankTegn,IF(BK$2=0,SUM(Materialedata[[#This Row],[A1-A3/m²]:[A4/m²]]),
BJ27+IF(BK$2=Input_Tidshorisont,SUM(Materialedata[[#This Row],[C3/m²]:[C4/m²]]),IF(MOD(BK$2,Materialedata[[#This Row],[Levetid]])=0,SUM(Materialedata[[#This Row],[A1-A3/m²]:[C4/m²]]),0))
))</f>
        <v>10.294430675675676</v>
      </c>
      <c r="BL27" s="141">
        <f>IF(BL$2&gt;Input_Tidshorisont,BlankTegn,IF(BL$2=0,SUM(Materialedata[[#This Row],[A1-A3/m²]:[A4/m²]]),
BK27+IF(BL$2=Input_Tidshorisont,SUM(Materialedata[[#This Row],[C3/m²]:[C4/m²]]),IF(MOD(BL$2,Materialedata[[#This Row],[Levetid]])=0,SUM(Materialedata[[#This Row],[A1-A3/m²]:[C4/m²]]),0))
))</f>
        <v>10.294430675675676</v>
      </c>
      <c r="BM27" s="141">
        <f>IF(BM$2&gt;Input_Tidshorisont,BlankTegn,IF(BM$2=0,SUM(Materialedata[[#This Row],[A1-A3/m²]:[A4/m²]]),
BL27+IF(BM$2=Input_Tidshorisont,SUM(Materialedata[[#This Row],[C3/m²]:[C4/m²]]),IF(MOD(BM$2,Materialedata[[#This Row],[Levetid]])=0,SUM(Materialedata[[#This Row],[A1-A3/m²]:[C4/m²]]),0))
))</f>
        <v>10.294430675675676</v>
      </c>
      <c r="BN27" s="141">
        <f>IF(BN$2&gt;Input_Tidshorisont,BlankTegn,IF(BN$2=0,SUM(Materialedata[[#This Row],[A1-A3/m²]:[A4/m²]]),
BM27+IF(BN$2=Input_Tidshorisont,SUM(Materialedata[[#This Row],[C3/m²]:[C4/m²]]),IF(MOD(BN$2,Materialedata[[#This Row],[Levetid]])=0,SUM(Materialedata[[#This Row],[A1-A3/m²]:[C4/m²]]),0))
))</f>
        <v>10.294430675675676</v>
      </c>
      <c r="BO27" s="141">
        <f>IF(BO$2&gt;Input_Tidshorisont,BlankTegn,IF(BO$2=0,SUM(Materialedata[[#This Row],[A1-A3/m²]:[A4/m²]]),
BN27+IF(BO$2=Input_Tidshorisont,SUM(Materialedata[[#This Row],[C3/m²]:[C4/m²]]),IF(MOD(BO$2,Materialedata[[#This Row],[Levetid]])=0,SUM(Materialedata[[#This Row],[A1-A3/m²]:[C4/m²]]),0))
))</f>
        <v>10.294430675675676</v>
      </c>
      <c r="BP27" s="141">
        <f>IF(BP$2&gt;Input_Tidshorisont,BlankTegn,IF(BP$2=0,SUM(Materialedata[[#This Row],[A1-A3/m²]:[A4/m²]]),
BO27+IF(BP$2=Input_Tidshorisont,SUM(Materialedata[[#This Row],[C3/m²]:[C4/m²]]),IF(MOD(BP$2,Materialedata[[#This Row],[Levetid]])=0,SUM(Materialedata[[#This Row],[A1-A3/m²]:[C4/m²]]),0))
))</f>
        <v>10.294430675675676</v>
      </c>
      <c r="BQ27" s="141">
        <f>IF(BQ$2&gt;Input_Tidshorisont,BlankTegn,IF(BQ$2=0,SUM(Materialedata[[#This Row],[A1-A3/m²]:[A4/m²]]),
BP27+IF(BQ$2=Input_Tidshorisont,SUM(Materialedata[[#This Row],[C3/m²]:[C4/m²]]),IF(MOD(BQ$2,Materialedata[[#This Row],[Levetid]])=0,SUM(Materialedata[[#This Row],[A1-A3/m²]:[C4/m²]]),0))
))</f>
        <v>10.294430675675676</v>
      </c>
      <c r="BR27" s="141">
        <f>IF(BR$2&gt;Input_Tidshorisont,BlankTegn,IF(BR$2=0,SUM(Materialedata[[#This Row],[A1-A3/m²]:[A4/m²]]),
BQ27+IF(BR$2=Input_Tidshorisont,SUM(Materialedata[[#This Row],[C3/m²]:[C4/m²]]),IF(MOD(BR$2,Materialedata[[#This Row],[Levetid]])=0,SUM(Materialedata[[#This Row],[A1-A3/m²]:[C4/m²]]),0))
))</f>
        <v>10.294430675675676</v>
      </c>
      <c r="BS27" s="141">
        <f>IF(BS$2&gt;Input_Tidshorisont,BlankTegn,IF(BS$2=0,SUM(Materialedata[[#This Row],[A1-A3/m²]:[A4/m²]]),
BR27+IF(BS$2=Input_Tidshorisont,SUM(Materialedata[[#This Row],[C3/m²]:[C4/m²]]),IF(MOD(BS$2,Materialedata[[#This Row],[Levetid]])=0,SUM(Materialedata[[#This Row],[A1-A3/m²]:[C4/m²]]),0))
))</f>
        <v>10.294430675675676</v>
      </c>
      <c r="BT27" s="141">
        <f>IF(BT$2&gt;Input_Tidshorisont,BlankTegn,IF(BT$2=0,SUM(Materialedata[[#This Row],[A1-A3/m²]:[A4/m²]]),
BS27+IF(BT$2=Input_Tidshorisont,SUM(Materialedata[[#This Row],[C3/m²]:[C4/m²]]),IF(MOD(BT$2,Materialedata[[#This Row],[Levetid]])=0,SUM(Materialedata[[#This Row],[A1-A3/m²]:[C4/m²]]),0))
))</f>
        <v>10.294430675675676</v>
      </c>
      <c r="BU27" s="141">
        <f>IF(BU$2&gt;Input_Tidshorisont,BlankTegn,IF(BU$2=0,SUM(Materialedata[[#This Row],[A1-A3/m²]:[A4/m²]]),
BT27+IF(BU$2=Input_Tidshorisont,SUM(Materialedata[[#This Row],[C3/m²]:[C4/m²]]),IF(MOD(BU$2,Materialedata[[#This Row],[Levetid]])=0,SUM(Materialedata[[#This Row],[A1-A3/m²]:[C4/m²]]),0))
))</f>
        <v>10.294430675675676</v>
      </c>
      <c r="BV27" s="141">
        <f>IF(BV$2&gt;Input_Tidshorisont,BlankTegn,IF(BV$2=0,SUM(Materialedata[[#This Row],[A1-A3/m²]:[A4/m²]]),
BU27+IF(BV$2=Input_Tidshorisont,SUM(Materialedata[[#This Row],[C3/m²]:[C4/m²]]),IF(MOD(BV$2,Materialedata[[#This Row],[Levetid]])=0,SUM(Materialedata[[#This Row],[A1-A3/m²]:[C4/m²]]),0))
))</f>
        <v>10.294430675675676</v>
      </c>
      <c r="BW27" s="141">
        <f>IF(BW$2&gt;Input_Tidshorisont,BlankTegn,IF(BW$2=0,SUM(Materialedata[[#This Row],[A1-A3/m²]:[A4/m²]]),
BV27+IF(BW$2=Input_Tidshorisont,SUM(Materialedata[[#This Row],[C3/m²]:[C4/m²]]),IF(MOD(BW$2,Materialedata[[#This Row],[Levetid]])=0,SUM(Materialedata[[#This Row],[A1-A3/m²]:[C4/m²]]),0))
))</f>
        <v>10.294430675675676</v>
      </c>
      <c r="BX27" s="141">
        <f>IF(BX$2&gt;Input_Tidshorisont,BlankTegn,IF(BX$2=0,SUM(Materialedata[[#This Row],[A1-A3/m²]:[A4/m²]]),
BW27+IF(BX$2=Input_Tidshorisont,SUM(Materialedata[[#This Row],[C3/m²]:[C4/m²]]),IF(MOD(BX$2,Materialedata[[#This Row],[Levetid]])=0,SUM(Materialedata[[#This Row],[A1-A3/m²]:[C4/m²]]),0))
))</f>
        <v>10.294430675675676</v>
      </c>
      <c r="BY27" s="141">
        <f>IF(BY$2&gt;Input_Tidshorisont,BlankTegn,IF(BY$2=0,SUM(Materialedata[[#This Row],[A1-A3/m²]:[A4/m²]]),
BX27+IF(BY$2=Input_Tidshorisont,SUM(Materialedata[[#This Row],[C3/m²]:[C4/m²]]),IF(MOD(BY$2,Materialedata[[#This Row],[Levetid]])=0,SUM(Materialedata[[#This Row],[A1-A3/m²]:[C4/m²]]),0))
))</f>
        <v>10.294430675675676</v>
      </c>
      <c r="BZ27" s="141">
        <f>IF(BZ$2&gt;Input_Tidshorisont,BlankTegn,IF(BZ$2=0,SUM(Materialedata[[#This Row],[A1-A3/m²]:[A4/m²]]),
BY27+IF(BZ$2=Input_Tidshorisont,SUM(Materialedata[[#This Row],[C3/m²]:[C4/m²]]),IF(MOD(BZ$2,Materialedata[[#This Row],[Levetid]])=0,SUM(Materialedata[[#This Row],[A1-A3/m²]:[C4/m²]]),0))
))</f>
        <v>10.294430675675676</v>
      </c>
      <c r="CA27" s="141">
        <f>IF(CA$2&gt;Input_Tidshorisont,BlankTegn,IF(CA$2=0,SUM(Materialedata[[#This Row],[A1-A3/m²]:[A4/m²]]),
BZ27+IF(CA$2=Input_Tidshorisont,SUM(Materialedata[[#This Row],[C3/m²]:[C4/m²]]),IF(MOD(CA$2,Materialedata[[#This Row],[Levetid]])=0,SUM(Materialedata[[#This Row],[A1-A3/m²]:[C4/m²]]),0))
))</f>
        <v>10.294430675675676</v>
      </c>
      <c r="CB27" s="141">
        <f>IF(CB$2&gt;Input_Tidshorisont,BlankTegn,IF(CB$2=0,SUM(Materialedata[[#This Row],[A1-A3/m²]:[A4/m²]]),
CA27+IF(CB$2=Input_Tidshorisont,SUM(Materialedata[[#This Row],[C3/m²]:[C4/m²]]),IF(MOD(CB$2,Materialedata[[#This Row],[Levetid]])=0,SUM(Materialedata[[#This Row],[A1-A3/m²]:[C4/m²]]),0))
))</f>
        <v>10.294430675675676</v>
      </c>
      <c r="CC27" s="141">
        <f>IF(CC$2&gt;Input_Tidshorisont,BlankTegn,IF(CC$2=0,SUM(Materialedata[[#This Row],[A1-A3/m²]:[A4/m²]]),
CB27+IF(CC$2=Input_Tidshorisont,SUM(Materialedata[[#This Row],[C3/m²]:[C4/m²]]),IF(MOD(CC$2,Materialedata[[#This Row],[Levetid]])=0,SUM(Materialedata[[#This Row],[A1-A3/m²]:[C4/m²]]),0))
))</f>
        <v>10.294430675675676</v>
      </c>
      <c r="CD27" s="141">
        <f>IF(CD$2&gt;Input_Tidshorisont,BlankTegn,IF(CD$2=0,SUM(Materialedata[[#This Row],[A1-A3/m²]:[A4/m²]]),
CC27+IF(CD$2=Input_Tidshorisont,SUM(Materialedata[[#This Row],[C3/m²]:[C4/m²]]),IF(MOD(CD$2,Materialedata[[#This Row],[Levetid]])=0,SUM(Materialedata[[#This Row],[A1-A3/m²]:[C4/m²]]),0))
))</f>
        <v>10.294430675675676</v>
      </c>
      <c r="CE27" s="141">
        <f>IF(CE$2&gt;Input_Tidshorisont,BlankTegn,IF(CE$2=0,SUM(Materialedata[[#This Row],[A1-A3/m²]:[A4/m²]]),
CD27+IF(CE$2=Input_Tidshorisont,SUM(Materialedata[[#This Row],[C3/m²]:[C4/m²]]),IF(MOD(CE$2,Materialedata[[#This Row],[Levetid]])=0,SUM(Materialedata[[#This Row],[A1-A3/m²]:[C4/m²]]),0))
))</f>
        <v>10.294430675675676</v>
      </c>
      <c r="CF27" s="141">
        <f>IF(CF$2&gt;Input_Tidshorisont,BlankTegn,IF(CF$2=0,SUM(Materialedata[[#This Row],[A1-A3/m²]:[A4/m²]]),
CE27+IF(CF$2=Input_Tidshorisont,SUM(Materialedata[[#This Row],[C3/m²]:[C4/m²]]),IF(MOD(CF$2,Materialedata[[#This Row],[Levetid]])=0,SUM(Materialedata[[#This Row],[A1-A3/m²]:[C4/m²]]),0))
))</f>
        <v>10.294430675675676</v>
      </c>
      <c r="CG27" s="141">
        <f>IF(CG$2&gt;Input_Tidshorisont,BlankTegn,IF(CG$2=0,SUM(Materialedata[[#This Row],[A1-A3/m²]:[A4/m²]]),
CF27+IF(CG$2=Input_Tidshorisont,SUM(Materialedata[[#This Row],[C3/m²]:[C4/m²]]),IF(MOD(CG$2,Materialedata[[#This Row],[Levetid]])=0,SUM(Materialedata[[#This Row],[A1-A3/m²]:[C4/m²]]),0))
))</f>
        <v>10.294430675675676</v>
      </c>
      <c r="CH27" s="141">
        <f>IF(CH$2&gt;Input_Tidshorisont,BlankTegn,IF(CH$2=0,SUM(Materialedata[[#This Row],[A1-A3/m²]:[A4/m²]]),
CG27+IF(CH$2=Input_Tidshorisont,SUM(Materialedata[[#This Row],[C3/m²]:[C4/m²]]),IF(MOD(CH$2,Materialedata[[#This Row],[Levetid]])=0,SUM(Materialedata[[#This Row],[A1-A3/m²]:[C4/m²]]),0))
))</f>
        <v>17.875881081081083</v>
      </c>
      <c r="CI27" s="141" t="str">
        <f>IF(CI$2&gt;Input_Tidshorisont,BlankTegn,IF(CI$2=0,SUM(Materialedata[[#This Row],[A1-A3/m²]:[A4/m²]]),
CH27+IF(CI$2=Input_Tidshorisont,SUM(Materialedata[[#This Row],[C3/m²]:[C4/m²]]),IF(MOD(CI$2,Materialedata[[#This Row],[Levetid]])=0,SUM(Materialedata[[#This Row],[A1-A3/m²]:[C4/m²]]),0))
))</f>
        <v>.</v>
      </c>
      <c r="CJ27" s="141" t="str">
        <f>IF(CJ$2&gt;Input_Tidshorisont,BlankTegn,IF(CJ$2=0,SUM(Materialedata[[#This Row],[A1-A3/m²]:[A4/m²]]),
CI27+IF(CJ$2=Input_Tidshorisont,SUM(Materialedata[[#This Row],[C3/m²]:[C4/m²]]),IF(MOD(CJ$2,Materialedata[[#This Row],[Levetid]])=0,SUM(Materialedata[[#This Row],[A1-A3/m²]:[C4/m²]]),0))
))</f>
        <v>.</v>
      </c>
      <c r="CK27" s="141" t="str">
        <f>IF(CK$2&gt;Input_Tidshorisont,BlankTegn,IF(CK$2=0,SUM(Materialedata[[#This Row],[A1-A3/m²]:[A4/m²]]),
CJ27+IF(CK$2=Input_Tidshorisont,SUM(Materialedata[[#This Row],[C3/m²]:[C4/m²]]),IF(MOD(CK$2,Materialedata[[#This Row],[Levetid]])=0,SUM(Materialedata[[#This Row],[A1-A3/m²]:[C4/m²]]),0))
))</f>
        <v>.</v>
      </c>
      <c r="CL27" s="141" t="str">
        <f>IF(CL$2&gt;Input_Tidshorisont,BlankTegn,IF(CL$2=0,SUM(Materialedata[[#This Row],[A1-A3/m²]:[A4/m²]]),
CK27+IF(CL$2=Input_Tidshorisont,SUM(Materialedata[[#This Row],[C3/m²]:[C4/m²]]),IF(MOD(CL$2,Materialedata[[#This Row],[Levetid]])=0,SUM(Materialedata[[#This Row],[A1-A3/m²]:[C4/m²]]),0))
))</f>
        <v>.</v>
      </c>
      <c r="CM27" s="141" t="str">
        <f>IF(CM$2&gt;Input_Tidshorisont,BlankTegn,IF(CM$2=0,SUM(Materialedata[[#This Row],[A1-A3/m²]:[A4/m²]]),
CL27+IF(CM$2=Input_Tidshorisont,SUM(Materialedata[[#This Row],[C3/m²]:[C4/m²]]),IF(MOD(CM$2,Materialedata[[#This Row],[Levetid]])=0,SUM(Materialedata[[#This Row],[A1-A3/m²]:[C4/m²]]),0))
))</f>
        <v>.</v>
      </c>
      <c r="CN27" s="141" t="str">
        <f>IF(CN$2&gt;Input_Tidshorisont,BlankTegn,IF(CN$2=0,SUM(Materialedata[[#This Row],[A1-A3/m²]:[A4/m²]]),
CM27+IF(CN$2=Input_Tidshorisont,SUM(Materialedata[[#This Row],[C3/m²]:[C4/m²]]),IF(MOD(CN$2,Materialedata[[#This Row],[Levetid]])=0,SUM(Materialedata[[#This Row],[A1-A3/m²]:[C4/m²]]),0))
))</f>
        <v>.</v>
      </c>
      <c r="CO27" s="141" t="str">
        <f>IF(CO$2&gt;Input_Tidshorisont,BlankTegn,IF(CO$2=0,SUM(Materialedata[[#This Row],[A1-A3/m²]:[A4/m²]]),
CN27+IF(CO$2=Input_Tidshorisont,SUM(Materialedata[[#This Row],[C3/m²]:[C4/m²]]),IF(MOD(CO$2,Materialedata[[#This Row],[Levetid]])=0,SUM(Materialedata[[#This Row],[A1-A3/m²]:[C4/m²]]),0))
))</f>
        <v>.</v>
      </c>
      <c r="CP27" s="141" t="str">
        <f>IF(CP$2&gt;Input_Tidshorisont,BlankTegn,IF(CP$2=0,SUM(Materialedata[[#This Row],[A1-A3/m²]:[A4/m²]]),
CO27+IF(CP$2=Input_Tidshorisont,SUM(Materialedata[[#This Row],[C3/m²]:[C4/m²]]),IF(MOD(CP$2,Materialedata[[#This Row],[Levetid]])=0,SUM(Materialedata[[#This Row],[A1-A3/m²]:[C4/m²]]),0))
))</f>
        <v>.</v>
      </c>
      <c r="CQ27" s="141" t="str">
        <f>IF(CQ$2&gt;Input_Tidshorisont,BlankTegn,IF(CQ$2=0,SUM(Materialedata[[#This Row],[A1-A3/m²]:[A4/m²]]),
CP27+IF(CQ$2=Input_Tidshorisont,SUM(Materialedata[[#This Row],[C3/m²]:[C4/m²]]),IF(MOD(CQ$2,Materialedata[[#This Row],[Levetid]])=0,SUM(Materialedata[[#This Row],[A1-A3/m²]:[C4/m²]]),0))
))</f>
        <v>.</v>
      </c>
      <c r="CR27" s="141" t="str">
        <f>IF(CR$2&gt;Input_Tidshorisont,BlankTegn,IF(CR$2=0,SUM(Materialedata[[#This Row],[A1-A3/m²]:[A4/m²]]),
CQ27+IF(CR$2=Input_Tidshorisont,SUM(Materialedata[[#This Row],[C3/m²]:[C4/m²]]),IF(MOD(CR$2,Materialedata[[#This Row],[Levetid]])=0,SUM(Materialedata[[#This Row],[A1-A3/m²]:[C4/m²]]),0))
))</f>
        <v>.</v>
      </c>
      <c r="CS27" s="141" t="str">
        <f>IF(CS$2&gt;Input_Tidshorisont,BlankTegn,IF(CS$2=0,SUM(Materialedata[[#This Row],[A1-A3/m²]:[A4/m²]]),
CR27+IF(CS$2=Input_Tidshorisont,SUM(Materialedata[[#This Row],[C3/m²]:[C4/m²]]),IF(MOD(CS$2,Materialedata[[#This Row],[Levetid]])=0,SUM(Materialedata[[#This Row],[A1-A3/m²]:[C4/m²]]),0))
))</f>
        <v>.</v>
      </c>
      <c r="CT27" s="141" t="str">
        <f>IF(CT$2&gt;Input_Tidshorisont,BlankTegn,IF(CT$2=0,SUM(Materialedata[[#This Row],[A1-A3/m²]:[A4/m²]]),
CS27+IF(CT$2=Input_Tidshorisont,SUM(Materialedata[[#This Row],[C3/m²]:[C4/m²]]),IF(MOD(CT$2,Materialedata[[#This Row],[Levetid]])=0,SUM(Materialedata[[#This Row],[A1-A3/m²]:[C4/m²]]),0))
))</f>
        <v>.</v>
      </c>
      <c r="CU27" s="141" t="str">
        <f>IF(CU$2&gt;Input_Tidshorisont,BlankTegn,IF(CU$2=0,SUM(Materialedata[[#This Row],[A1-A3/m²]:[A4/m²]]),
CT27+IF(CU$2=Input_Tidshorisont,SUM(Materialedata[[#This Row],[C3/m²]:[C4/m²]]),IF(MOD(CU$2,Materialedata[[#This Row],[Levetid]])=0,SUM(Materialedata[[#This Row],[A1-A3/m²]:[C4/m²]]),0))
))</f>
        <v>.</v>
      </c>
      <c r="CV27" s="141" t="str">
        <f>IF(CV$2&gt;Input_Tidshorisont,BlankTegn,IF(CV$2=0,SUM(Materialedata[[#This Row],[A1-A3/m²]:[A4/m²]]),
CU27+IF(CV$2=Input_Tidshorisont,SUM(Materialedata[[#This Row],[C3/m²]:[C4/m²]]),IF(MOD(CV$2,Materialedata[[#This Row],[Levetid]])=0,SUM(Materialedata[[#This Row],[A1-A3/m²]:[C4/m²]]),0))
))</f>
        <v>.</v>
      </c>
      <c r="CW27" s="141" t="str">
        <f>IF(CW$2&gt;Input_Tidshorisont,BlankTegn,IF(CW$2=0,SUM(Materialedata[[#This Row],[A1-A3/m²]:[A4/m²]]),
CV27+IF(CW$2=Input_Tidshorisont,SUM(Materialedata[[#This Row],[C3/m²]:[C4/m²]]),IF(MOD(CW$2,Materialedata[[#This Row],[Levetid]])=0,SUM(Materialedata[[#This Row],[A1-A3/m²]:[C4/m²]]),0))
))</f>
        <v>.</v>
      </c>
      <c r="CX27" s="141" t="str">
        <f>IF(CX$2&gt;Input_Tidshorisont,BlankTegn,IF(CX$2=0,SUM(Materialedata[[#This Row],[A1-A3/m²]:[A4/m²]]),
CW27+IF(CX$2=Input_Tidshorisont,SUM(Materialedata[[#This Row],[C3/m²]:[C4/m²]]),IF(MOD(CX$2,Materialedata[[#This Row],[Levetid]])=0,SUM(Materialedata[[#This Row],[A1-A3/m²]:[C4/m²]]),0))
))</f>
        <v>.</v>
      </c>
      <c r="CY27" s="141" t="str">
        <f>IF(CY$2&gt;Input_Tidshorisont,BlankTegn,IF(CY$2=0,SUM(Materialedata[[#This Row],[A1-A3/m²]:[A4/m²]]),
CX27+IF(CY$2=Input_Tidshorisont,SUM(Materialedata[[#This Row],[C3/m²]:[C4/m²]]),IF(MOD(CY$2,Materialedata[[#This Row],[Levetid]])=0,SUM(Materialedata[[#This Row],[A1-A3/m²]:[C4/m²]]),0))
))</f>
        <v>.</v>
      </c>
      <c r="CZ27" s="141" t="str">
        <f>IF(CZ$2&gt;Input_Tidshorisont,BlankTegn,IF(CZ$2=0,SUM(Materialedata[[#This Row],[A1-A3/m²]:[A4/m²]]),
CY27+IF(CZ$2=Input_Tidshorisont,SUM(Materialedata[[#This Row],[C3/m²]:[C4/m²]]),IF(MOD(CZ$2,Materialedata[[#This Row],[Levetid]])=0,SUM(Materialedata[[#This Row],[A1-A3/m²]:[C4/m²]]),0))
))</f>
        <v>.</v>
      </c>
      <c r="DA27" s="141" t="str">
        <f>IF(DA$2&gt;Input_Tidshorisont,BlankTegn,IF(DA$2=0,SUM(Materialedata[[#This Row],[A1-A3/m²]:[A4/m²]]),
CZ27+IF(DA$2=Input_Tidshorisont,SUM(Materialedata[[#This Row],[C3/m²]:[C4/m²]]),IF(MOD(DA$2,Materialedata[[#This Row],[Levetid]])=0,SUM(Materialedata[[#This Row],[A1-A3/m²]:[C4/m²]]),0))
))</f>
        <v>.</v>
      </c>
      <c r="DB27" s="141" t="str">
        <f>IF(DB$2&gt;Input_Tidshorisont,BlankTegn,IF(DB$2=0,SUM(Materialedata[[#This Row],[A1-A3/m²]:[A4/m²]]),
DA27+IF(DB$2=Input_Tidshorisont,SUM(Materialedata[[#This Row],[C3/m²]:[C4/m²]]),IF(MOD(DB$2,Materialedata[[#This Row],[Levetid]])=0,SUM(Materialedata[[#This Row],[A1-A3/m²]:[C4/m²]]),0))
))</f>
        <v>.</v>
      </c>
      <c r="DC27" s="141" t="str">
        <f>IF(DC$2&gt;Input_Tidshorisont,BlankTegn,IF(DC$2=0,SUM(Materialedata[[#This Row],[A1-A3/m²]:[A4/m²]]),
DB27+IF(DC$2=Input_Tidshorisont,SUM(Materialedata[[#This Row],[C3/m²]:[C4/m²]]),IF(MOD(DC$2,Materialedata[[#This Row],[Levetid]])=0,SUM(Materialedata[[#This Row],[A1-A3/m²]:[C4/m²]]),0))
))</f>
        <v>.</v>
      </c>
      <c r="DD27" s="141" t="str">
        <f>IF(DD$2&gt;Input_Tidshorisont,BlankTegn,IF(DD$2=0,SUM(Materialedata[[#This Row],[A1-A3/m²]:[A4/m²]]),
DC27+IF(DD$2=Input_Tidshorisont,SUM(Materialedata[[#This Row],[C3/m²]:[C4/m²]]),IF(MOD(DD$2,Materialedata[[#This Row],[Levetid]])=0,SUM(Materialedata[[#This Row],[A1-A3/m²]:[C4/m²]]),0))
))</f>
        <v>.</v>
      </c>
      <c r="DE27" s="141" t="str">
        <f>IF(DE$2&gt;Input_Tidshorisont,BlankTegn,IF(DE$2=0,SUM(Materialedata[[#This Row],[A1-A3/m²]:[A4/m²]]),
DD27+IF(DE$2=Input_Tidshorisont,SUM(Materialedata[[#This Row],[C3/m²]:[C4/m²]]),IF(MOD(DE$2,Materialedata[[#This Row],[Levetid]])=0,SUM(Materialedata[[#This Row],[A1-A3/m²]:[C4/m²]]),0))
))</f>
        <v>.</v>
      </c>
      <c r="DF27" s="141" t="str">
        <f>IF(DF$2&gt;Input_Tidshorisont,BlankTegn,IF(DF$2=0,SUM(Materialedata[[#This Row],[A1-A3/m²]:[A4/m²]]),
DE27+IF(DF$2=Input_Tidshorisont,SUM(Materialedata[[#This Row],[C3/m²]:[C4/m²]]),IF(MOD(DF$2,Materialedata[[#This Row],[Levetid]])=0,SUM(Materialedata[[#This Row],[A1-A3/m²]:[C4/m²]]),0))
))</f>
        <v>.</v>
      </c>
      <c r="DG27" s="141" t="str">
        <f>IF(DG$2&gt;Input_Tidshorisont,BlankTegn,IF(DG$2=0,SUM(Materialedata[[#This Row],[A1-A3/m²]:[A4/m²]]),
DF27+IF(DG$2=Input_Tidshorisont,SUM(Materialedata[[#This Row],[C3/m²]:[C4/m²]]),IF(MOD(DG$2,Materialedata[[#This Row],[Levetid]])=0,SUM(Materialedata[[#This Row],[A1-A3/m²]:[C4/m²]]),0))
))</f>
        <v>.</v>
      </c>
      <c r="DH27" s="141" t="str">
        <f>IF(DH$2&gt;Input_Tidshorisont,BlankTegn,IF(DH$2=0,SUM(Materialedata[[#This Row],[A1-A3/m²]:[A4/m²]]),
DG27+IF(DH$2=Input_Tidshorisont,SUM(Materialedata[[#This Row],[C3/m²]:[C4/m²]]),IF(MOD(DH$2,Materialedata[[#This Row],[Levetid]])=0,SUM(Materialedata[[#This Row],[A1-A3/m²]:[C4/m²]]),0))
))</f>
        <v>.</v>
      </c>
      <c r="DI27" s="141" t="str">
        <f>IF(DI$2&gt;Input_Tidshorisont,BlankTegn,IF(DI$2=0,SUM(Materialedata[[#This Row],[A1-A3/m²]:[A4/m²]]),
DH27+IF(DI$2=Input_Tidshorisont,SUM(Materialedata[[#This Row],[C3/m²]:[C4/m²]]),IF(MOD(DI$2,Materialedata[[#This Row],[Levetid]])=0,SUM(Materialedata[[#This Row],[A1-A3/m²]:[C4/m²]]),0))
))</f>
        <v>.</v>
      </c>
      <c r="DJ27" s="141" t="str">
        <f>IF(DJ$2&gt;Input_Tidshorisont,BlankTegn,IF(DJ$2=0,SUM(Materialedata[[#This Row],[A1-A3/m²]:[A4/m²]]),
DI27+IF(DJ$2=Input_Tidshorisont,SUM(Materialedata[[#This Row],[C3/m²]:[C4/m²]]),IF(MOD(DJ$2,Materialedata[[#This Row],[Levetid]])=0,SUM(Materialedata[[#This Row],[A1-A3/m²]:[C4/m²]]),0))
))</f>
        <v>.</v>
      </c>
      <c r="DK27" s="141" t="str">
        <f>IF(DK$2&gt;Input_Tidshorisont,BlankTegn,IF(DK$2=0,SUM(Materialedata[[#This Row],[A1-A3/m²]:[A4/m²]]),
DJ27+IF(DK$2=Input_Tidshorisont,SUM(Materialedata[[#This Row],[C3/m²]:[C4/m²]]),IF(MOD(DK$2,Materialedata[[#This Row],[Levetid]])=0,SUM(Materialedata[[#This Row],[A1-A3/m²]:[C4/m²]]),0))
))</f>
        <v>.</v>
      </c>
      <c r="DL27" s="141" t="str">
        <f>IF(DL$2&gt;Input_Tidshorisont,BlankTegn,IF(DL$2=0,SUM(Materialedata[[#This Row],[A1-A3/m²]:[A4/m²]]),
DK27+IF(DL$2=Input_Tidshorisont,SUM(Materialedata[[#This Row],[C3/m²]:[C4/m²]]),IF(MOD(DL$2,Materialedata[[#This Row],[Levetid]])=0,SUM(Materialedata[[#This Row],[A1-A3/m²]:[C4/m²]]),0))
))</f>
        <v>.</v>
      </c>
      <c r="DM27" s="19"/>
    </row>
    <row r="28" spans="1:117">
      <c r="A28" s="182" t="s">
        <v>248</v>
      </c>
      <c r="B28" s="182" t="s">
        <v>167</v>
      </c>
      <c r="C28" s="148" t="s">
        <v>131</v>
      </c>
      <c r="D28" s="184"/>
      <c r="E28" s="180" t="s">
        <v>164</v>
      </c>
      <c r="F28" s="182" t="s">
        <v>165</v>
      </c>
      <c r="G28" s="182">
        <v>60</v>
      </c>
      <c r="H28" s="183">
        <v>13</v>
      </c>
      <c r="I28" s="184">
        <f>0.1*1*1</f>
        <v>0.1</v>
      </c>
      <c r="J28" s="184" t="s">
        <v>232</v>
      </c>
      <c r="K28" s="182">
        <v>2.5099999999999998</v>
      </c>
      <c r="L28" s="182" t="s">
        <v>219</v>
      </c>
      <c r="M28" s="185">
        <f>IF(ISBLANK(Materialedata[[#This Row],[A4-gruppe]]),BlankTegn,INDEX(Byggeproces[GWP],MATCH(Materialedata[[#This Row],[A4-gruppe]],Byggeproces[Gruppe/Undergruppe],0)))</f>
        <v>6.0900000000000003E-2</v>
      </c>
      <c r="N28" s="182">
        <v>1.87</v>
      </c>
      <c r="O28" s="182">
        <v>9.1100000000000005E-5</v>
      </c>
      <c r="P28" s="182">
        <v>-8.7099999999999997E-2</v>
      </c>
      <c r="Q28" s="277">
        <f>Materialedata[[#This Row],[A1-A3/standardenhed]]/0.037*0.1</f>
        <v>6.7837837837837842</v>
      </c>
      <c r="R28" s="278" cm="1">
        <f t="array" ref="R28">IFERROR(_xlfn.IFS(Materialedata[[#This Row],[Mængde-enhed]]="kg/m²",Materialedata[[#This Row],[A4/kg]]*Materialedata[[#This Row],[Mængde/m²]],Materialedata[[#This Row],[Mængde-enhed]]="m³/m²",Materialedata[[#This Row],[A4/kg]]*Materialedata[[#This Row],[Mængde/m²]]*Materialedata[[#This Row],[Densitet]]),"N/A")</f>
        <v>7.9170000000000004E-2</v>
      </c>
      <c r="S28" s="277">
        <f>Materialedata[[#This Row],[C3/enhed]]/0.037*0.1</f>
        <v>5.0540540540540553</v>
      </c>
      <c r="T28" s="277">
        <f>Materialedata[[#This Row],[C4/enhed]]/0.037*0.1</f>
        <v>2.4621621621621627E-4</v>
      </c>
      <c r="U28" s="277">
        <f>Materialedata[[#This Row],[D/enhed]]/0.037*0.1</f>
        <v>-0.23540540540540544</v>
      </c>
      <c r="V28" s="150">
        <f>IFERROR(INDEX(Range_Materiale_Genbrug,MATCH(Materialedata[[#This Row],[Komponent]],Facadekomponenter,0)),BlankTegn)</f>
        <v>0</v>
      </c>
      <c r="W28" s="150">
        <f>IFERROR(1-Materialedata[[#This Row],[Genbrug]],BlankTegn)</f>
        <v>1</v>
      </c>
      <c r="X28" s="186">
        <f>IFERROR(Materialedata[[#This Row],[A1-A3/m²_nyt]]*Materialedata[[#This Row],[Nyt]],BlankTegn)</f>
        <v>6.7837837837837842</v>
      </c>
      <c r="Y28" s="186">
        <f>Materialedata[[#This Row],[A4/m²_nyt]]</f>
        <v>7.9170000000000004E-2</v>
      </c>
      <c r="Z28" s="186">
        <f>IFERROR(Materialedata[[#This Row],[C3/m²_nyt]]*Materialedata[[#This Row],[Nyt]],BlankTegn)</f>
        <v>5.0540540540540553</v>
      </c>
      <c r="AA28" s="186">
        <f>IFERROR(Materialedata[[#This Row],[C4/m²_nyt]]*Materialedata[[#This Row],[Nyt]],BlankTegn)</f>
        <v>2.4621621621621627E-4</v>
      </c>
      <c r="AB28" s="186">
        <f>IFERROR(Materialedata[[#This Row],[D/m²_nyt]]*Materialedata[[#This Row],[Nyt]],BlankTegn)</f>
        <v>-0.23540540540540544</v>
      </c>
      <c r="AC28" s="187">
        <v>172.60799988053896</v>
      </c>
      <c r="AD28" s="188" t="s">
        <v>29</v>
      </c>
      <c r="AE28" s="182">
        <v>1</v>
      </c>
      <c r="AF28" s="189">
        <f>Materialedata[[#This Row],[Pris/enhed]]*Materialedata[[#This Row],[Omregning]]</f>
        <v>172.60799988053896</v>
      </c>
      <c r="AG28" s="190">
        <v>0.01</v>
      </c>
      <c r="AH28" s="191">
        <v>1</v>
      </c>
      <c r="AI28" s="162">
        <v>0</v>
      </c>
      <c r="AJ28" s="141">
        <f>IF(AJ$2&gt;Input_Tidshorisont,BlankTegn,IF(AJ$2=0,SUM(Materialedata[[#This Row],[A1-A3/m²]:[A4/m²]]),
AI28+IF(AJ$2=Input_Tidshorisont,SUM(Materialedata[[#This Row],[C3/m²]:[C4/m²]]),IF(MOD(AJ$2,Materialedata[[#This Row],[Levetid]])=0,SUM(Materialedata[[#This Row],[A1-A3/m²]:[C4/m²]]),0))
))</f>
        <v>6.8629537837837846</v>
      </c>
      <c r="AK28" s="141">
        <f>IF(AK$2&gt;Input_Tidshorisont,BlankTegn,IF(AK$2=0,SUM(Materialedata[[#This Row],[A1-A3/m²]:[A4/m²]]),
AJ28+IF(AK$2=Input_Tidshorisont,SUM(Materialedata[[#This Row],[C3/m²]:[C4/m²]]),IF(MOD(AK$2,Materialedata[[#This Row],[Levetid]])=0,SUM(Materialedata[[#This Row],[A1-A3/m²]:[C4/m²]]),0))
))</f>
        <v>6.8629537837837846</v>
      </c>
      <c r="AL28" s="141">
        <f>IF(AL$2&gt;Input_Tidshorisont,BlankTegn,IF(AL$2=0,SUM(Materialedata[[#This Row],[A1-A3/m²]:[A4/m²]]),
AK28+IF(AL$2=Input_Tidshorisont,SUM(Materialedata[[#This Row],[C3/m²]:[C4/m²]]),IF(MOD(AL$2,Materialedata[[#This Row],[Levetid]])=0,SUM(Materialedata[[#This Row],[A1-A3/m²]:[C4/m²]]),0))
))</f>
        <v>6.8629537837837846</v>
      </c>
      <c r="AM28" s="141">
        <f>IF(AM$2&gt;Input_Tidshorisont,BlankTegn,IF(AM$2=0,SUM(Materialedata[[#This Row],[A1-A3/m²]:[A4/m²]]),
AL28+IF(AM$2=Input_Tidshorisont,SUM(Materialedata[[#This Row],[C3/m²]:[C4/m²]]),IF(MOD(AM$2,Materialedata[[#This Row],[Levetid]])=0,SUM(Materialedata[[#This Row],[A1-A3/m²]:[C4/m²]]),0))
))</f>
        <v>6.8629537837837846</v>
      </c>
      <c r="AN28" s="141">
        <f>IF(AN$2&gt;Input_Tidshorisont,BlankTegn,IF(AN$2=0,SUM(Materialedata[[#This Row],[A1-A3/m²]:[A4/m²]]),
AM28+IF(AN$2=Input_Tidshorisont,SUM(Materialedata[[#This Row],[C3/m²]:[C4/m²]]),IF(MOD(AN$2,Materialedata[[#This Row],[Levetid]])=0,SUM(Materialedata[[#This Row],[A1-A3/m²]:[C4/m²]]),0))
))</f>
        <v>6.8629537837837846</v>
      </c>
      <c r="AO28" s="141">
        <f>IF(AO$2&gt;Input_Tidshorisont,BlankTegn,IF(AO$2=0,SUM(Materialedata[[#This Row],[A1-A3/m²]:[A4/m²]]),
AN28+IF(AO$2=Input_Tidshorisont,SUM(Materialedata[[#This Row],[C3/m²]:[C4/m²]]),IF(MOD(AO$2,Materialedata[[#This Row],[Levetid]])=0,SUM(Materialedata[[#This Row],[A1-A3/m²]:[C4/m²]]),0))
))</f>
        <v>6.8629537837837846</v>
      </c>
      <c r="AP28" s="141">
        <f>IF(AP$2&gt;Input_Tidshorisont,BlankTegn,IF(AP$2=0,SUM(Materialedata[[#This Row],[A1-A3/m²]:[A4/m²]]),
AO28+IF(AP$2=Input_Tidshorisont,SUM(Materialedata[[#This Row],[C3/m²]:[C4/m²]]),IF(MOD(AP$2,Materialedata[[#This Row],[Levetid]])=0,SUM(Materialedata[[#This Row],[A1-A3/m²]:[C4/m²]]),0))
))</f>
        <v>6.8629537837837846</v>
      </c>
      <c r="AQ28" s="141">
        <f>IF(AQ$2&gt;Input_Tidshorisont,BlankTegn,IF(AQ$2=0,SUM(Materialedata[[#This Row],[A1-A3/m²]:[A4/m²]]),
AP28+IF(AQ$2=Input_Tidshorisont,SUM(Materialedata[[#This Row],[C3/m²]:[C4/m²]]),IF(MOD(AQ$2,Materialedata[[#This Row],[Levetid]])=0,SUM(Materialedata[[#This Row],[A1-A3/m²]:[C4/m²]]),0))
))</f>
        <v>6.8629537837837846</v>
      </c>
      <c r="AR28" s="141">
        <f>IF(AR$2&gt;Input_Tidshorisont,BlankTegn,IF(AR$2=0,SUM(Materialedata[[#This Row],[A1-A3/m²]:[A4/m²]]),
AQ28+IF(AR$2=Input_Tidshorisont,SUM(Materialedata[[#This Row],[C3/m²]:[C4/m²]]),IF(MOD(AR$2,Materialedata[[#This Row],[Levetid]])=0,SUM(Materialedata[[#This Row],[A1-A3/m²]:[C4/m²]]),0))
))</f>
        <v>6.8629537837837846</v>
      </c>
      <c r="AS28" s="141">
        <f>IF(AS$2&gt;Input_Tidshorisont,BlankTegn,IF(AS$2=0,SUM(Materialedata[[#This Row],[A1-A3/m²]:[A4/m²]]),
AR28+IF(AS$2=Input_Tidshorisont,SUM(Materialedata[[#This Row],[C3/m²]:[C4/m²]]),IF(MOD(AS$2,Materialedata[[#This Row],[Levetid]])=0,SUM(Materialedata[[#This Row],[A1-A3/m²]:[C4/m²]]),0))
))</f>
        <v>6.8629537837837846</v>
      </c>
      <c r="AT28" s="141">
        <f>IF(AT$2&gt;Input_Tidshorisont,BlankTegn,IF(AT$2=0,SUM(Materialedata[[#This Row],[A1-A3/m²]:[A4/m²]]),
AS28+IF(AT$2=Input_Tidshorisont,SUM(Materialedata[[#This Row],[C3/m²]:[C4/m²]]),IF(MOD(AT$2,Materialedata[[#This Row],[Levetid]])=0,SUM(Materialedata[[#This Row],[A1-A3/m²]:[C4/m²]]),0))
))</f>
        <v>6.8629537837837846</v>
      </c>
      <c r="AU28" s="141">
        <f>IF(AU$2&gt;Input_Tidshorisont,BlankTegn,IF(AU$2=0,SUM(Materialedata[[#This Row],[A1-A3/m²]:[A4/m²]]),
AT28+IF(AU$2=Input_Tidshorisont,SUM(Materialedata[[#This Row],[C3/m²]:[C4/m²]]),IF(MOD(AU$2,Materialedata[[#This Row],[Levetid]])=0,SUM(Materialedata[[#This Row],[A1-A3/m²]:[C4/m²]]),0))
))</f>
        <v>6.8629537837837846</v>
      </c>
      <c r="AV28" s="141">
        <f>IF(AV$2&gt;Input_Tidshorisont,BlankTegn,IF(AV$2=0,SUM(Materialedata[[#This Row],[A1-A3/m²]:[A4/m²]]),
AU28+IF(AV$2=Input_Tidshorisont,SUM(Materialedata[[#This Row],[C3/m²]:[C4/m²]]),IF(MOD(AV$2,Materialedata[[#This Row],[Levetid]])=0,SUM(Materialedata[[#This Row],[A1-A3/m²]:[C4/m²]]),0))
))</f>
        <v>6.8629537837837846</v>
      </c>
      <c r="AW28" s="141">
        <f>IF(AW$2&gt;Input_Tidshorisont,BlankTegn,IF(AW$2=0,SUM(Materialedata[[#This Row],[A1-A3/m²]:[A4/m²]]),
AV28+IF(AW$2=Input_Tidshorisont,SUM(Materialedata[[#This Row],[C3/m²]:[C4/m²]]),IF(MOD(AW$2,Materialedata[[#This Row],[Levetid]])=0,SUM(Materialedata[[#This Row],[A1-A3/m²]:[C4/m²]]),0))
))</f>
        <v>6.8629537837837846</v>
      </c>
      <c r="AX28" s="141">
        <f>IF(AX$2&gt;Input_Tidshorisont,BlankTegn,IF(AX$2=0,SUM(Materialedata[[#This Row],[A1-A3/m²]:[A4/m²]]),
AW28+IF(AX$2=Input_Tidshorisont,SUM(Materialedata[[#This Row],[C3/m²]:[C4/m²]]),IF(MOD(AX$2,Materialedata[[#This Row],[Levetid]])=0,SUM(Materialedata[[#This Row],[A1-A3/m²]:[C4/m²]]),0))
))</f>
        <v>6.8629537837837846</v>
      </c>
      <c r="AY28" s="141">
        <f>IF(AY$2&gt;Input_Tidshorisont,BlankTegn,IF(AY$2=0,SUM(Materialedata[[#This Row],[A1-A3/m²]:[A4/m²]]),
AX28+IF(AY$2=Input_Tidshorisont,SUM(Materialedata[[#This Row],[C3/m²]:[C4/m²]]),IF(MOD(AY$2,Materialedata[[#This Row],[Levetid]])=0,SUM(Materialedata[[#This Row],[A1-A3/m²]:[C4/m²]]),0))
))</f>
        <v>6.8629537837837846</v>
      </c>
      <c r="AZ28" s="141">
        <f>IF(AZ$2&gt;Input_Tidshorisont,BlankTegn,IF(AZ$2=0,SUM(Materialedata[[#This Row],[A1-A3/m²]:[A4/m²]]),
AY28+IF(AZ$2=Input_Tidshorisont,SUM(Materialedata[[#This Row],[C3/m²]:[C4/m²]]),IF(MOD(AZ$2,Materialedata[[#This Row],[Levetid]])=0,SUM(Materialedata[[#This Row],[A1-A3/m²]:[C4/m²]]),0))
))</f>
        <v>6.8629537837837846</v>
      </c>
      <c r="BA28" s="141">
        <f>IF(BA$2&gt;Input_Tidshorisont,BlankTegn,IF(BA$2=0,SUM(Materialedata[[#This Row],[A1-A3/m²]:[A4/m²]]),
AZ28+IF(BA$2=Input_Tidshorisont,SUM(Materialedata[[#This Row],[C3/m²]:[C4/m²]]),IF(MOD(BA$2,Materialedata[[#This Row],[Levetid]])=0,SUM(Materialedata[[#This Row],[A1-A3/m²]:[C4/m²]]),0))
))</f>
        <v>6.8629537837837846</v>
      </c>
      <c r="BB28" s="141">
        <f>IF(BB$2&gt;Input_Tidshorisont,BlankTegn,IF(BB$2=0,SUM(Materialedata[[#This Row],[A1-A3/m²]:[A4/m²]]),
BA28+IF(BB$2=Input_Tidshorisont,SUM(Materialedata[[#This Row],[C3/m²]:[C4/m²]]),IF(MOD(BB$2,Materialedata[[#This Row],[Levetid]])=0,SUM(Materialedata[[#This Row],[A1-A3/m²]:[C4/m²]]),0))
))</f>
        <v>6.8629537837837846</v>
      </c>
      <c r="BC28" s="141">
        <f>IF(BC$2&gt;Input_Tidshorisont,BlankTegn,IF(BC$2=0,SUM(Materialedata[[#This Row],[A1-A3/m²]:[A4/m²]]),
BB28+IF(BC$2=Input_Tidshorisont,SUM(Materialedata[[#This Row],[C3/m²]:[C4/m²]]),IF(MOD(BC$2,Materialedata[[#This Row],[Levetid]])=0,SUM(Materialedata[[#This Row],[A1-A3/m²]:[C4/m²]]),0))
))</f>
        <v>6.8629537837837846</v>
      </c>
      <c r="BD28" s="141">
        <f>IF(BD$2&gt;Input_Tidshorisont,BlankTegn,IF(BD$2=0,SUM(Materialedata[[#This Row],[A1-A3/m²]:[A4/m²]]),
BC28+IF(BD$2=Input_Tidshorisont,SUM(Materialedata[[#This Row],[C3/m²]:[C4/m²]]),IF(MOD(BD$2,Materialedata[[#This Row],[Levetid]])=0,SUM(Materialedata[[#This Row],[A1-A3/m²]:[C4/m²]]),0))
))</f>
        <v>6.8629537837837846</v>
      </c>
      <c r="BE28" s="141">
        <f>IF(BE$2&gt;Input_Tidshorisont,BlankTegn,IF(BE$2=0,SUM(Materialedata[[#This Row],[A1-A3/m²]:[A4/m²]]),
BD28+IF(BE$2=Input_Tidshorisont,SUM(Materialedata[[#This Row],[C3/m²]:[C4/m²]]),IF(MOD(BE$2,Materialedata[[#This Row],[Levetid]])=0,SUM(Materialedata[[#This Row],[A1-A3/m²]:[C4/m²]]),0))
))</f>
        <v>6.8629537837837846</v>
      </c>
      <c r="BF28" s="141">
        <f>IF(BF$2&gt;Input_Tidshorisont,BlankTegn,IF(BF$2=0,SUM(Materialedata[[#This Row],[A1-A3/m²]:[A4/m²]]),
BE28+IF(BF$2=Input_Tidshorisont,SUM(Materialedata[[#This Row],[C3/m²]:[C4/m²]]),IF(MOD(BF$2,Materialedata[[#This Row],[Levetid]])=0,SUM(Materialedata[[#This Row],[A1-A3/m²]:[C4/m²]]),0))
))</f>
        <v>6.8629537837837846</v>
      </c>
      <c r="BG28" s="141">
        <f>IF(BG$2&gt;Input_Tidshorisont,BlankTegn,IF(BG$2=0,SUM(Materialedata[[#This Row],[A1-A3/m²]:[A4/m²]]),
BF28+IF(BG$2=Input_Tidshorisont,SUM(Materialedata[[#This Row],[C3/m²]:[C4/m²]]),IF(MOD(BG$2,Materialedata[[#This Row],[Levetid]])=0,SUM(Materialedata[[#This Row],[A1-A3/m²]:[C4/m²]]),0))
))</f>
        <v>6.8629537837837846</v>
      </c>
      <c r="BH28" s="141">
        <f>IF(BH$2&gt;Input_Tidshorisont,BlankTegn,IF(BH$2=0,SUM(Materialedata[[#This Row],[A1-A3/m²]:[A4/m²]]),
BG28+IF(BH$2=Input_Tidshorisont,SUM(Materialedata[[#This Row],[C3/m²]:[C4/m²]]),IF(MOD(BH$2,Materialedata[[#This Row],[Levetid]])=0,SUM(Materialedata[[#This Row],[A1-A3/m²]:[C4/m²]]),0))
))</f>
        <v>6.8629537837837846</v>
      </c>
      <c r="BI28" s="141">
        <f>IF(BI$2&gt;Input_Tidshorisont,BlankTegn,IF(BI$2=0,SUM(Materialedata[[#This Row],[A1-A3/m²]:[A4/m²]]),
BH28+IF(BI$2=Input_Tidshorisont,SUM(Materialedata[[#This Row],[C3/m²]:[C4/m²]]),IF(MOD(BI$2,Materialedata[[#This Row],[Levetid]])=0,SUM(Materialedata[[#This Row],[A1-A3/m²]:[C4/m²]]),0))
))</f>
        <v>6.8629537837837846</v>
      </c>
      <c r="BJ28" s="141">
        <f>IF(BJ$2&gt;Input_Tidshorisont,BlankTegn,IF(BJ$2=0,SUM(Materialedata[[#This Row],[A1-A3/m²]:[A4/m²]]),
BI28+IF(BJ$2=Input_Tidshorisont,SUM(Materialedata[[#This Row],[C3/m²]:[C4/m²]]),IF(MOD(BJ$2,Materialedata[[#This Row],[Levetid]])=0,SUM(Materialedata[[#This Row],[A1-A3/m²]:[C4/m²]]),0))
))</f>
        <v>6.8629537837837846</v>
      </c>
      <c r="BK28" s="141">
        <f>IF(BK$2&gt;Input_Tidshorisont,BlankTegn,IF(BK$2=0,SUM(Materialedata[[#This Row],[A1-A3/m²]:[A4/m²]]),
BJ28+IF(BK$2=Input_Tidshorisont,SUM(Materialedata[[#This Row],[C3/m²]:[C4/m²]]),IF(MOD(BK$2,Materialedata[[#This Row],[Levetid]])=0,SUM(Materialedata[[#This Row],[A1-A3/m²]:[C4/m²]]),0))
))</f>
        <v>6.8629537837837846</v>
      </c>
      <c r="BL28" s="141">
        <f>IF(BL$2&gt;Input_Tidshorisont,BlankTegn,IF(BL$2=0,SUM(Materialedata[[#This Row],[A1-A3/m²]:[A4/m²]]),
BK28+IF(BL$2=Input_Tidshorisont,SUM(Materialedata[[#This Row],[C3/m²]:[C4/m²]]),IF(MOD(BL$2,Materialedata[[#This Row],[Levetid]])=0,SUM(Materialedata[[#This Row],[A1-A3/m²]:[C4/m²]]),0))
))</f>
        <v>6.8629537837837846</v>
      </c>
      <c r="BM28" s="141">
        <f>IF(BM$2&gt;Input_Tidshorisont,BlankTegn,IF(BM$2=0,SUM(Materialedata[[#This Row],[A1-A3/m²]:[A4/m²]]),
BL28+IF(BM$2=Input_Tidshorisont,SUM(Materialedata[[#This Row],[C3/m²]:[C4/m²]]),IF(MOD(BM$2,Materialedata[[#This Row],[Levetid]])=0,SUM(Materialedata[[#This Row],[A1-A3/m²]:[C4/m²]]),0))
))</f>
        <v>6.8629537837837846</v>
      </c>
      <c r="BN28" s="141">
        <f>IF(BN$2&gt;Input_Tidshorisont,BlankTegn,IF(BN$2=0,SUM(Materialedata[[#This Row],[A1-A3/m²]:[A4/m²]]),
BM28+IF(BN$2=Input_Tidshorisont,SUM(Materialedata[[#This Row],[C3/m²]:[C4/m²]]),IF(MOD(BN$2,Materialedata[[#This Row],[Levetid]])=0,SUM(Materialedata[[#This Row],[A1-A3/m²]:[C4/m²]]),0))
))</f>
        <v>6.8629537837837846</v>
      </c>
      <c r="BO28" s="141">
        <f>IF(BO$2&gt;Input_Tidshorisont,BlankTegn,IF(BO$2=0,SUM(Materialedata[[#This Row],[A1-A3/m²]:[A4/m²]]),
BN28+IF(BO$2=Input_Tidshorisont,SUM(Materialedata[[#This Row],[C3/m²]:[C4/m²]]),IF(MOD(BO$2,Materialedata[[#This Row],[Levetid]])=0,SUM(Materialedata[[#This Row],[A1-A3/m²]:[C4/m²]]),0))
))</f>
        <v>6.8629537837837846</v>
      </c>
      <c r="BP28" s="141">
        <f>IF(BP$2&gt;Input_Tidshorisont,BlankTegn,IF(BP$2=0,SUM(Materialedata[[#This Row],[A1-A3/m²]:[A4/m²]]),
BO28+IF(BP$2=Input_Tidshorisont,SUM(Materialedata[[#This Row],[C3/m²]:[C4/m²]]),IF(MOD(BP$2,Materialedata[[#This Row],[Levetid]])=0,SUM(Materialedata[[#This Row],[A1-A3/m²]:[C4/m²]]),0))
))</f>
        <v>6.8629537837837846</v>
      </c>
      <c r="BQ28" s="141">
        <f>IF(BQ$2&gt;Input_Tidshorisont,BlankTegn,IF(BQ$2=0,SUM(Materialedata[[#This Row],[A1-A3/m²]:[A4/m²]]),
BP28+IF(BQ$2=Input_Tidshorisont,SUM(Materialedata[[#This Row],[C3/m²]:[C4/m²]]),IF(MOD(BQ$2,Materialedata[[#This Row],[Levetid]])=0,SUM(Materialedata[[#This Row],[A1-A3/m²]:[C4/m²]]),0))
))</f>
        <v>6.8629537837837846</v>
      </c>
      <c r="BR28" s="141">
        <f>IF(BR$2&gt;Input_Tidshorisont,BlankTegn,IF(BR$2=0,SUM(Materialedata[[#This Row],[A1-A3/m²]:[A4/m²]]),
BQ28+IF(BR$2=Input_Tidshorisont,SUM(Materialedata[[#This Row],[C3/m²]:[C4/m²]]),IF(MOD(BR$2,Materialedata[[#This Row],[Levetid]])=0,SUM(Materialedata[[#This Row],[A1-A3/m²]:[C4/m²]]),0))
))</f>
        <v>6.8629537837837846</v>
      </c>
      <c r="BS28" s="141">
        <f>IF(BS$2&gt;Input_Tidshorisont,BlankTegn,IF(BS$2=0,SUM(Materialedata[[#This Row],[A1-A3/m²]:[A4/m²]]),
BR28+IF(BS$2=Input_Tidshorisont,SUM(Materialedata[[#This Row],[C3/m²]:[C4/m²]]),IF(MOD(BS$2,Materialedata[[#This Row],[Levetid]])=0,SUM(Materialedata[[#This Row],[A1-A3/m²]:[C4/m²]]),0))
))</f>
        <v>6.8629537837837846</v>
      </c>
      <c r="BT28" s="141">
        <f>IF(BT$2&gt;Input_Tidshorisont,BlankTegn,IF(BT$2=0,SUM(Materialedata[[#This Row],[A1-A3/m²]:[A4/m²]]),
BS28+IF(BT$2=Input_Tidshorisont,SUM(Materialedata[[#This Row],[C3/m²]:[C4/m²]]),IF(MOD(BT$2,Materialedata[[#This Row],[Levetid]])=0,SUM(Materialedata[[#This Row],[A1-A3/m²]:[C4/m²]]),0))
))</f>
        <v>6.8629537837837846</v>
      </c>
      <c r="BU28" s="141">
        <f>IF(BU$2&gt;Input_Tidshorisont,BlankTegn,IF(BU$2=0,SUM(Materialedata[[#This Row],[A1-A3/m²]:[A4/m²]]),
BT28+IF(BU$2=Input_Tidshorisont,SUM(Materialedata[[#This Row],[C3/m²]:[C4/m²]]),IF(MOD(BU$2,Materialedata[[#This Row],[Levetid]])=0,SUM(Materialedata[[#This Row],[A1-A3/m²]:[C4/m²]]),0))
))</f>
        <v>6.8629537837837846</v>
      </c>
      <c r="BV28" s="141">
        <f>IF(BV$2&gt;Input_Tidshorisont,BlankTegn,IF(BV$2=0,SUM(Materialedata[[#This Row],[A1-A3/m²]:[A4/m²]]),
BU28+IF(BV$2=Input_Tidshorisont,SUM(Materialedata[[#This Row],[C3/m²]:[C4/m²]]),IF(MOD(BV$2,Materialedata[[#This Row],[Levetid]])=0,SUM(Materialedata[[#This Row],[A1-A3/m²]:[C4/m²]]),0))
))</f>
        <v>6.8629537837837846</v>
      </c>
      <c r="BW28" s="141">
        <f>IF(BW$2&gt;Input_Tidshorisont,BlankTegn,IF(BW$2=0,SUM(Materialedata[[#This Row],[A1-A3/m²]:[A4/m²]]),
BV28+IF(BW$2=Input_Tidshorisont,SUM(Materialedata[[#This Row],[C3/m²]:[C4/m²]]),IF(MOD(BW$2,Materialedata[[#This Row],[Levetid]])=0,SUM(Materialedata[[#This Row],[A1-A3/m²]:[C4/m²]]),0))
))</f>
        <v>6.8629537837837846</v>
      </c>
      <c r="BX28" s="141">
        <f>IF(BX$2&gt;Input_Tidshorisont,BlankTegn,IF(BX$2=0,SUM(Materialedata[[#This Row],[A1-A3/m²]:[A4/m²]]),
BW28+IF(BX$2=Input_Tidshorisont,SUM(Materialedata[[#This Row],[C3/m²]:[C4/m²]]),IF(MOD(BX$2,Materialedata[[#This Row],[Levetid]])=0,SUM(Materialedata[[#This Row],[A1-A3/m²]:[C4/m²]]),0))
))</f>
        <v>6.8629537837837846</v>
      </c>
      <c r="BY28" s="141">
        <f>IF(BY$2&gt;Input_Tidshorisont,BlankTegn,IF(BY$2=0,SUM(Materialedata[[#This Row],[A1-A3/m²]:[A4/m²]]),
BX28+IF(BY$2=Input_Tidshorisont,SUM(Materialedata[[#This Row],[C3/m²]:[C4/m²]]),IF(MOD(BY$2,Materialedata[[#This Row],[Levetid]])=0,SUM(Materialedata[[#This Row],[A1-A3/m²]:[C4/m²]]),0))
))</f>
        <v>6.8629537837837846</v>
      </c>
      <c r="BZ28" s="141">
        <f>IF(BZ$2&gt;Input_Tidshorisont,BlankTegn,IF(BZ$2=0,SUM(Materialedata[[#This Row],[A1-A3/m²]:[A4/m²]]),
BY28+IF(BZ$2=Input_Tidshorisont,SUM(Materialedata[[#This Row],[C3/m²]:[C4/m²]]),IF(MOD(BZ$2,Materialedata[[#This Row],[Levetid]])=0,SUM(Materialedata[[#This Row],[A1-A3/m²]:[C4/m²]]),0))
))</f>
        <v>6.8629537837837846</v>
      </c>
      <c r="CA28" s="141">
        <f>IF(CA$2&gt;Input_Tidshorisont,BlankTegn,IF(CA$2=0,SUM(Materialedata[[#This Row],[A1-A3/m²]:[A4/m²]]),
BZ28+IF(CA$2=Input_Tidshorisont,SUM(Materialedata[[#This Row],[C3/m²]:[C4/m²]]),IF(MOD(CA$2,Materialedata[[#This Row],[Levetid]])=0,SUM(Materialedata[[#This Row],[A1-A3/m²]:[C4/m²]]),0))
))</f>
        <v>6.8629537837837846</v>
      </c>
      <c r="CB28" s="141">
        <f>IF(CB$2&gt;Input_Tidshorisont,BlankTegn,IF(CB$2=0,SUM(Materialedata[[#This Row],[A1-A3/m²]:[A4/m²]]),
CA28+IF(CB$2=Input_Tidshorisont,SUM(Materialedata[[#This Row],[C3/m²]:[C4/m²]]),IF(MOD(CB$2,Materialedata[[#This Row],[Levetid]])=0,SUM(Materialedata[[#This Row],[A1-A3/m²]:[C4/m²]]),0))
))</f>
        <v>6.8629537837837846</v>
      </c>
      <c r="CC28" s="141">
        <f>IF(CC$2&gt;Input_Tidshorisont,BlankTegn,IF(CC$2=0,SUM(Materialedata[[#This Row],[A1-A3/m²]:[A4/m²]]),
CB28+IF(CC$2=Input_Tidshorisont,SUM(Materialedata[[#This Row],[C3/m²]:[C4/m²]]),IF(MOD(CC$2,Materialedata[[#This Row],[Levetid]])=0,SUM(Materialedata[[#This Row],[A1-A3/m²]:[C4/m²]]),0))
))</f>
        <v>6.8629537837837846</v>
      </c>
      <c r="CD28" s="141">
        <f>IF(CD$2&gt;Input_Tidshorisont,BlankTegn,IF(CD$2=0,SUM(Materialedata[[#This Row],[A1-A3/m²]:[A4/m²]]),
CC28+IF(CD$2=Input_Tidshorisont,SUM(Materialedata[[#This Row],[C3/m²]:[C4/m²]]),IF(MOD(CD$2,Materialedata[[#This Row],[Levetid]])=0,SUM(Materialedata[[#This Row],[A1-A3/m²]:[C4/m²]]),0))
))</f>
        <v>6.8629537837837846</v>
      </c>
      <c r="CE28" s="141">
        <f>IF(CE$2&gt;Input_Tidshorisont,BlankTegn,IF(CE$2=0,SUM(Materialedata[[#This Row],[A1-A3/m²]:[A4/m²]]),
CD28+IF(CE$2=Input_Tidshorisont,SUM(Materialedata[[#This Row],[C3/m²]:[C4/m²]]),IF(MOD(CE$2,Materialedata[[#This Row],[Levetid]])=0,SUM(Materialedata[[#This Row],[A1-A3/m²]:[C4/m²]]),0))
))</f>
        <v>6.8629537837837846</v>
      </c>
      <c r="CF28" s="141">
        <f>IF(CF$2&gt;Input_Tidshorisont,BlankTegn,IF(CF$2=0,SUM(Materialedata[[#This Row],[A1-A3/m²]:[A4/m²]]),
CE28+IF(CF$2=Input_Tidshorisont,SUM(Materialedata[[#This Row],[C3/m²]:[C4/m²]]),IF(MOD(CF$2,Materialedata[[#This Row],[Levetid]])=0,SUM(Materialedata[[#This Row],[A1-A3/m²]:[C4/m²]]),0))
))</f>
        <v>6.8629537837837846</v>
      </c>
      <c r="CG28" s="141">
        <f>IF(CG$2&gt;Input_Tidshorisont,BlankTegn,IF(CG$2=0,SUM(Materialedata[[#This Row],[A1-A3/m²]:[A4/m²]]),
CF28+IF(CG$2=Input_Tidshorisont,SUM(Materialedata[[#This Row],[C3/m²]:[C4/m²]]),IF(MOD(CG$2,Materialedata[[#This Row],[Levetid]])=0,SUM(Materialedata[[#This Row],[A1-A3/m²]:[C4/m²]]),0))
))</f>
        <v>6.8629537837837846</v>
      </c>
      <c r="CH28" s="141">
        <f>IF(CH$2&gt;Input_Tidshorisont,BlankTegn,IF(CH$2=0,SUM(Materialedata[[#This Row],[A1-A3/m²]:[A4/m²]]),
CG28+IF(CH$2=Input_Tidshorisont,SUM(Materialedata[[#This Row],[C3/m²]:[C4/m²]]),IF(MOD(CH$2,Materialedata[[#This Row],[Levetid]])=0,SUM(Materialedata[[#This Row],[A1-A3/m²]:[C4/m²]]),0))
))</f>
        <v>11.917254054054055</v>
      </c>
      <c r="CI28" s="141" t="str">
        <f>IF(CI$2&gt;Input_Tidshorisont,BlankTegn,IF(CI$2=0,SUM(Materialedata[[#This Row],[A1-A3/m²]:[A4/m²]]),
CH28+IF(CI$2=Input_Tidshorisont,SUM(Materialedata[[#This Row],[C3/m²]:[C4/m²]]),IF(MOD(CI$2,Materialedata[[#This Row],[Levetid]])=0,SUM(Materialedata[[#This Row],[A1-A3/m²]:[C4/m²]]),0))
))</f>
        <v>.</v>
      </c>
      <c r="CJ28" s="141" t="str">
        <f>IF(CJ$2&gt;Input_Tidshorisont,BlankTegn,IF(CJ$2=0,SUM(Materialedata[[#This Row],[A1-A3/m²]:[A4/m²]]),
CI28+IF(CJ$2=Input_Tidshorisont,SUM(Materialedata[[#This Row],[C3/m²]:[C4/m²]]),IF(MOD(CJ$2,Materialedata[[#This Row],[Levetid]])=0,SUM(Materialedata[[#This Row],[A1-A3/m²]:[C4/m²]]),0))
))</f>
        <v>.</v>
      </c>
      <c r="CK28" s="141" t="str">
        <f>IF(CK$2&gt;Input_Tidshorisont,BlankTegn,IF(CK$2=0,SUM(Materialedata[[#This Row],[A1-A3/m²]:[A4/m²]]),
CJ28+IF(CK$2=Input_Tidshorisont,SUM(Materialedata[[#This Row],[C3/m²]:[C4/m²]]),IF(MOD(CK$2,Materialedata[[#This Row],[Levetid]])=0,SUM(Materialedata[[#This Row],[A1-A3/m²]:[C4/m²]]),0))
))</f>
        <v>.</v>
      </c>
      <c r="CL28" s="141" t="str">
        <f>IF(CL$2&gt;Input_Tidshorisont,BlankTegn,IF(CL$2=0,SUM(Materialedata[[#This Row],[A1-A3/m²]:[A4/m²]]),
CK28+IF(CL$2=Input_Tidshorisont,SUM(Materialedata[[#This Row],[C3/m²]:[C4/m²]]),IF(MOD(CL$2,Materialedata[[#This Row],[Levetid]])=0,SUM(Materialedata[[#This Row],[A1-A3/m²]:[C4/m²]]),0))
))</f>
        <v>.</v>
      </c>
      <c r="CM28" s="141" t="str">
        <f>IF(CM$2&gt;Input_Tidshorisont,BlankTegn,IF(CM$2=0,SUM(Materialedata[[#This Row],[A1-A3/m²]:[A4/m²]]),
CL28+IF(CM$2=Input_Tidshorisont,SUM(Materialedata[[#This Row],[C3/m²]:[C4/m²]]),IF(MOD(CM$2,Materialedata[[#This Row],[Levetid]])=0,SUM(Materialedata[[#This Row],[A1-A3/m²]:[C4/m²]]),0))
))</f>
        <v>.</v>
      </c>
      <c r="CN28" s="141" t="str">
        <f>IF(CN$2&gt;Input_Tidshorisont,BlankTegn,IF(CN$2=0,SUM(Materialedata[[#This Row],[A1-A3/m²]:[A4/m²]]),
CM28+IF(CN$2=Input_Tidshorisont,SUM(Materialedata[[#This Row],[C3/m²]:[C4/m²]]),IF(MOD(CN$2,Materialedata[[#This Row],[Levetid]])=0,SUM(Materialedata[[#This Row],[A1-A3/m²]:[C4/m²]]),0))
))</f>
        <v>.</v>
      </c>
      <c r="CO28" s="141" t="str">
        <f>IF(CO$2&gt;Input_Tidshorisont,BlankTegn,IF(CO$2=0,SUM(Materialedata[[#This Row],[A1-A3/m²]:[A4/m²]]),
CN28+IF(CO$2=Input_Tidshorisont,SUM(Materialedata[[#This Row],[C3/m²]:[C4/m²]]),IF(MOD(CO$2,Materialedata[[#This Row],[Levetid]])=0,SUM(Materialedata[[#This Row],[A1-A3/m²]:[C4/m²]]),0))
))</f>
        <v>.</v>
      </c>
      <c r="CP28" s="141" t="str">
        <f>IF(CP$2&gt;Input_Tidshorisont,BlankTegn,IF(CP$2=0,SUM(Materialedata[[#This Row],[A1-A3/m²]:[A4/m²]]),
CO28+IF(CP$2=Input_Tidshorisont,SUM(Materialedata[[#This Row],[C3/m²]:[C4/m²]]),IF(MOD(CP$2,Materialedata[[#This Row],[Levetid]])=0,SUM(Materialedata[[#This Row],[A1-A3/m²]:[C4/m²]]),0))
))</f>
        <v>.</v>
      </c>
      <c r="CQ28" s="141" t="str">
        <f>IF(CQ$2&gt;Input_Tidshorisont,BlankTegn,IF(CQ$2=0,SUM(Materialedata[[#This Row],[A1-A3/m²]:[A4/m²]]),
CP28+IF(CQ$2=Input_Tidshorisont,SUM(Materialedata[[#This Row],[C3/m²]:[C4/m²]]),IF(MOD(CQ$2,Materialedata[[#This Row],[Levetid]])=0,SUM(Materialedata[[#This Row],[A1-A3/m²]:[C4/m²]]),0))
))</f>
        <v>.</v>
      </c>
      <c r="CR28" s="141" t="str">
        <f>IF(CR$2&gt;Input_Tidshorisont,BlankTegn,IF(CR$2=0,SUM(Materialedata[[#This Row],[A1-A3/m²]:[A4/m²]]),
CQ28+IF(CR$2=Input_Tidshorisont,SUM(Materialedata[[#This Row],[C3/m²]:[C4/m²]]),IF(MOD(CR$2,Materialedata[[#This Row],[Levetid]])=0,SUM(Materialedata[[#This Row],[A1-A3/m²]:[C4/m²]]),0))
))</f>
        <v>.</v>
      </c>
      <c r="CS28" s="141" t="str">
        <f>IF(CS$2&gt;Input_Tidshorisont,BlankTegn,IF(CS$2=0,SUM(Materialedata[[#This Row],[A1-A3/m²]:[A4/m²]]),
CR28+IF(CS$2=Input_Tidshorisont,SUM(Materialedata[[#This Row],[C3/m²]:[C4/m²]]),IF(MOD(CS$2,Materialedata[[#This Row],[Levetid]])=0,SUM(Materialedata[[#This Row],[A1-A3/m²]:[C4/m²]]),0))
))</f>
        <v>.</v>
      </c>
      <c r="CT28" s="141" t="str">
        <f>IF(CT$2&gt;Input_Tidshorisont,BlankTegn,IF(CT$2=0,SUM(Materialedata[[#This Row],[A1-A3/m²]:[A4/m²]]),
CS28+IF(CT$2=Input_Tidshorisont,SUM(Materialedata[[#This Row],[C3/m²]:[C4/m²]]),IF(MOD(CT$2,Materialedata[[#This Row],[Levetid]])=0,SUM(Materialedata[[#This Row],[A1-A3/m²]:[C4/m²]]),0))
))</f>
        <v>.</v>
      </c>
      <c r="CU28" s="141" t="str">
        <f>IF(CU$2&gt;Input_Tidshorisont,BlankTegn,IF(CU$2=0,SUM(Materialedata[[#This Row],[A1-A3/m²]:[A4/m²]]),
CT28+IF(CU$2=Input_Tidshorisont,SUM(Materialedata[[#This Row],[C3/m²]:[C4/m²]]),IF(MOD(CU$2,Materialedata[[#This Row],[Levetid]])=0,SUM(Materialedata[[#This Row],[A1-A3/m²]:[C4/m²]]),0))
))</f>
        <v>.</v>
      </c>
      <c r="CV28" s="141" t="str">
        <f>IF(CV$2&gt;Input_Tidshorisont,BlankTegn,IF(CV$2=0,SUM(Materialedata[[#This Row],[A1-A3/m²]:[A4/m²]]),
CU28+IF(CV$2=Input_Tidshorisont,SUM(Materialedata[[#This Row],[C3/m²]:[C4/m²]]),IF(MOD(CV$2,Materialedata[[#This Row],[Levetid]])=0,SUM(Materialedata[[#This Row],[A1-A3/m²]:[C4/m²]]),0))
))</f>
        <v>.</v>
      </c>
      <c r="CW28" s="141" t="str">
        <f>IF(CW$2&gt;Input_Tidshorisont,BlankTegn,IF(CW$2=0,SUM(Materialedata[[#This Row],[A1-A3/m²]:[A4/m²]]),
CV28+IF(CW$2=Input_Tidshorisont,SUM(Materialedata[[#This Row],[C3/m²]:[C4/m²]]),IF(MOD(CW$2,Materialedata[[#This Row],[Levetid]])=0,SUM(Materialedata[[#This Row],[A1-A3/m²]:[C4/m²]]),0))
))</f>
        <v>.</v>
      </c>
      <c r="CX28" s="141" t="str">
        <f>IF(CX$2&gt;Input_Tidshorisont,BlankTegn,IF(CX$2=0,SUM(Materialedata[[#This Row],[A1-A3/m²]:[A4/m²]]),
CW28+IF(CX$2=Input_Tidshorisont,SUM(Materialedata[[#This Row],[C3/m²]:[C4/m²]]),IF(MOD(CX$2,Materialedata[[#This Row],[Levetid]])=0,SUM(Materialedata[[#This Row],[A1-A3/m²]:[C4/m²]]),0))
))</f>
        <v>.</v>
      </c>
      <c r="CY28" s="141" t="str">
        <f>IF(CY$2&gt;Input_Tidshorisont,BlankTegn,IF(CY$2=0,SUM(Materialedata[[#This Row],[A1-A3/m²]:[A4/m²]]),
CX28+IF(CY$2=Input_Tidshorisont,SUM(Materialedata[[#This Row],[C3/m²]:[C4/m²]]),IF(MOD(CY$2,Materialedata[[#This Row],[Levetid]])=0,SUM(Materialedata[[#This Row],[A1-A3/m²]:[C4/m²]]),0))
))</f>
        <v>.</v>
      </c>
      <c r="CZ28" s="141" t="str">
        <f>IF(CZ$2&gt;Input_Tidshorisont,BlankTegn,IF(CZ$2=0,SUM(Materialedata[[#This Row],[A1-A3/m²]:[A4/m²]]),
CY28+IF(CZ$2=Input_Tidshorisont,SUM(Materialedata[[#This Row],[C3/m²]:[C4/m²]]),IF(MOD(CZ$2,Materialedata[[#This Row],[Levetid]])=0,SUM(Materialedata[[#This Row],[A1-A3/m²]:[C4/m²]]),0))
))</f>
        <v>.</v>
      </c>
      <c r="DA28" s="141" t="str">
        <f>IF(DA$2&gt;Input_Tidshorisont,BlankTegn,IF(DA$2=0,SUM(Materialedata[[#This Row],[A1-A3/m²]:[A4/m²]]),
CZ28+IF(DA$2=Input_Tidshorisont,SUM(Materialedata[[#This Row],[C3/m²]:[C4/m²]]),IF(MOD(DA$2,Materialedata[[#This Row],[Levetid]])=0,SUM(Materialedata[[#This Row],[A1-A3/m²]:[C4/m²]]),0))
))</f>
        <v>.</v>
      </c>
      <c r="DB28" s="141" t="str">
        <f>IF(DB$2&gt;Input_Tidshorisont,BlankTegn,IF(DB$2=0,SUM(Materialedata[[#This Row],[A1-A3/m²]:[A4/m²]]),
DA28+IF(DB$2=Input_Tidshorisont,SUM(Materialedata[[#This Row],[C3/m²]:[C4/m²]]),IF(MOD(DB$2,Materialedata[[#This Row],[Levetid]])=0,SUM(Materialedata[[#This Row],[A1-A3/m²]:[C4/m²]]),0))
))</f>
        <v>.</v>
      </c>
      <c r="DC28" s="141" t="str">
        <f>IF(DC$2&gt;Input_Tidshorisont,BlankTegn,IF(DC$2=0,SUM(Materialedata[[#This Row],[A1-A3/m²]:[A4/m²]]),
DB28+IF(DC$2=Input_Tidshorisont,SUM(Materialedata[[#This Row],[C3/m²]:[C4/m²]]),IF(MOD(DC$2,Materialedata[[#This Row],[Levetid]])=0,SUM(Materialedata[[#This Row],[A1-A3/m²]:[C4/m²]]),0))
))</f>
        <v>.</v>
      </c>
      <c r="DD28" s="141" t="str">
        <f>IF(DD$2&gt;Input_Tidshorisont,BlankTegn,IF(DD$2=0,SUM(Materialedata[[#This Row],[A1-A3/m²]:[A4/m²]]),
DC28+IF(DD$2=Input_Tidshorisont,SUM(Materialedata[[#This Row],[C3/m²]:[C4/m²]]),IF(MOD(DD$2,Materialedata[[#This Row],[Levetid]])=0,SUM(Materialedata[[#This Row],[A1-A3/m²]:[C4/m²]]),0))
))</f>
        <v>.</v>
      </c>
      <c r="DE28" s="141" t="str">
        <f>IF(DE$2&gt;Input_Tidshorisont,BlankTegn,IF(DE$2=0,SUM(Materialedata[[#This Row],[A1-A3/m²]:[A4/m²]]),
DD28+IF(DE$2=Input_Tidshorisont,SUM(Materialedata[[#This Row],[C3/m²]:[C4/m²]]),IF(MOD(DE$2,Materialedata[[#This Row],[Levetid]])=0,SUM(Materialedata[[#This Row],[A1-A3/m²]:[C4/m²]]),0))
))</f>
        <v>.</v>
      </c>
      <c r="DF28" s="141" t="str">
        <f>IF(DF$2&gt;Input_Tidshorisont,BlankTegn,IF(DF$2=0,SUM(Materialedata[[#This Row],[A1-A3/m²]:[A4/m²]]),
DE28+IF(DF$2=Input_Tidshorisont,SUM(Materialedata[[#This Row],[C3/m²]:[C4/m²]]),IF(MOD(DF$2,Materialedata[[#This Row],[Levetid]])=0,SUM(Materialedata[[#This Row],[A1-A3/m²]:[C4/m²]]),0))
))</f>
        <v>.</v>
      </c>
      <c r="DG28" s="141" t="str">
        <f>IF(DG$2&gt;Input_Tidshorisont,BlankTegn,IF(DG$2=0,SUM(Materialedata[[#This Row],[A1-A3/m²]:[A4/m²]]),
DF28+IF(DG$2=Input_Tidshorisont,SUM(Materialedata[[#This Row],[C3/m²]:[C4/m²]]),IF(MOD(DG$2,Materialedata[[#This Row],[Levetid]])=0,SUM(Materialedata[[#This Row],[A1-A3/m²]:[C4/m²]]),0))
))</f>
        <v>.</v>
      </c>
      <c r="DH28" s="141" t="str">
        <f>IF(DH$2&gt;Input_Tidshorisont,BlankTegn,IF(DH$2=0,SUM(Materialedata[[#This Row],[A1-A3/m²]:[A4/m²]]),
DG28+IF(DH$2=Input_Tidshorisont,SUM(Materialedata[[#This Row],[C3/m²]:[C4/m²]]),IF(MOD(DH$2,Materialedata[[#This Row],[Levetid]])=0,SUM(Materialedata[[#This Row],[A1-A3/m²]:[C4/m²]]),0))
))</f>
        <v>.</v>
      </c>
      <c r="DI28" s="141" t="str">
        <f>IF(DI$2&gt;Input_Tidshorisont,BlankTegn,IF(DI$2=0,SUM(Materialedata[[#This Row],[A1-A3/m²]:[A4/m²]]),
DH28+IF(DI$2=Input_Tidshorisont,SUM(Materialedata[[#This Row],[C3/m²]:[C4/m²]]),IF(MOD(DI$2,Materialedata[[#This Row],[Levetid]])=0,SUM(Materialedata[[#This Row],[A1-A3/m²]:[C4/m²]]),0))
))</f>
        <v>.</v>
      </c>
      <c r="DJ28" s="141" t="str">
        <f>IF(DJ$2&gt;Input_Tidshorisont,BlankTegn,IF(DJ$2=0,SUM(Materialedata[[#This Row],[A1-A3/m²]:[A4/m²]]),
DI28+IF(DJ$2=Input_Tidshorisont,SUM(Materialedata[[#This Row],[C3/m²]:[C4/m²]]),IF(MOD(DJ$2,Materialedata[[#This Row],[Levetid]])=0,SUM(Materialedata[[#This Row],[A1-A3/m²]:[C4/m²]]),0))
))</f>
        <v>.</v>
      </c>
      <c r="DK28" s="141" t="str">
        <f>IF(DK$2&gt;Input_Tidshorisont,BlankTegn,IF(DK$2=0,SUM(Materialedata[[#This Row],[A1-A3/m²]:[A4/m²]]),
DJ28+IF(DK$2=Input_Tidshorisont,SUM(Materialedata[[#This Row],[C3/m²]:[C4/m²]]),IF(MOD(DK$2,Materialedata[[#This Row],[Levetid]])=0,SUM(Materialedata[[#This Row],[A1-A3/m²]:[C4/m²]]),0))
))</f>
        <v>.</v>
      </c>
      <c r="DL28" s="141" t="str">
        <f>IF(DL$2&gt;Input_Tidshorisont,BlankTegn,IF(DL$2=0,SUM(Materialedata[[#This Row],[A1-A3/m²]:[A4/m²]]),
DK28+IF(DL$2=Input_Tidshorisont,SUM(Materialedata[[#This Row],[C3/m²]:[C4/m²]]),IF(MOD(DL$2,Materialedata[[#This Row],[Levetid]])=0,SUM(Materialedata[[#This Row],[A1-A3/m²]:[C4/m²]]),0))
))</f>
        <v>.</v>
      </c>
      <c r="DM28" s="19"/>
    </row>
    <row r="29" spans="1:117">
      <c r="A29" s="182" t="s">
        <v>248</v>
      </c>
      <c r="B29" s="182" t="s">
        <v>168</v>
      </c>
      <c r="C29" s="148" t="s">
        <v>131</v>
      </c>
      <c r="D29" s="184"/>
      <c r="E29" s="180" t="s">
        <v>169</v>
      </c>
      <c r="F29" s="182" t="s">
        <v>134</v>
      </c>
      <c r="G29" s="182">
        <v>60</v>
      </c>
      <c r="H29" s="183">
        <v>44</v>
      </c>
      <c r="I29" s="184">
        <f>0.2*1*1</f>
        <v>0.2</v>
      </c>
      <c r="J29" s="184" t="s">
        <v>232</v>
      </c>
      <c r="K29" s="182">
        <v>-1.19</v>
      </c>
      <c r="L29" s="182" t="s">
        <v>220</v>
      </c>
      <c r="M29" s="185">
        <f>IF(ISBLANK(Materialedata[[#This Row],[A4-gruppe]]),BlankTegn,INDEX(Byggeproces[GWP],MATCH(Materialedata[[#This Row],[A4-gruppe]],Byggeproces[Gruppe/Undergruppe],0)))</f>
        <v>9.1999999999999998E-2</v>
      </c>
      <c r="N29" s="182">
        <v>1.78</v>
      </c>
      <c r="O29" s="182">
        <v>0</v>
      </c>
      <c r="P29" s="182">
        <v>-0.42799999999999999</v>
      </c>
      <c r="Q29" s="277">
        <f>Materialedata[[#This Row],[A1-A3/standardenhed]]*Materialedata[[#This Row],[Densitet]]*0.2</f>
        <v>-10.472000000000001</v>
      </c>
      <c r="R29" s="278" cm="1">
        <f t="array" ref="R29">IFERROR(_xlfn.IFS(Materialedata[[#This Row],[Mængde-enhed]]="kg/m²",Materialedata[[#This Row],[A4/kg]]*Materialedata[[#This Row],[Mængde/m²]],Materialedata[[#This Row],[Mængde-enhed]]="m³/m²",Materialedata[[#This Row],[A4/kg]]*Materialedata[[#This Row],[Mængde/m²]]*Materialedata[[#This Row],[Densitet]]),"N/A")</f>
        <v>0.80959999999999999</v>
      </c>
      <c r="S29" s="277">
        <f>Materialedata[[#This Row],[C3/enhed]]*Materialedata[[#This Row],[Densitet]]*0.2</f>
        <v>15.664000000000001</v>
      </c>
      <c r="T29" s="277">
        <f>Materialedata[[#This Row],[C4/enhed]]*Materialedata[[#This Row],[Densitet]]*0.2</f>
        <v>0</v>
      </c>
      <c r="U29" s="277">
        <f>Materialedata[[#This Row],[D/enhed]]*Materialedata[[#This Row],[Densitet]]*0.2</f>
        <v>-3.7664000000000004</v>
      </c>
      <c r="V29" s="150">
        <f>IFERROR(INDEX(Range_Materiale_Genbrug,MATCH(Materialedata[[#This Row],[Komponent]],Facadekomponenter,0)),BlankTegn)</f>
        <v>0</v>
      </c>
      <c r="W29" s="150">
        <f>IFERROR(1-Materialedata[[#This Row],[Genbrug]],BlankTegn)</f>
        <v>1</v>
      </c>
      <c r="X29" s="186">
        <f>IFERROR(Materialedata[[#This Row],[A1-A3/m²_nyt]]*Materialedata[[#This Row],[Nyt]],BlankTegn)</f>
        <v>-10.472000000000001</v>
      </c>
      <c r="Y29" s="186">
        <f>Materialedata[[#This Row],[A4/m²_nyt]]</f>
        <v>0.80959999999999999</v>
      </c>
      <c r="Z29" s="186">
        <f>IFERROR(Materialedata[[#This Row],[C3/m²_nyt]]*Materialedata[[#This Row],[Nyt]],BlankTegn)</f>
        <v>15.664000000000001</v>
      </c>
      <c r="AA29" s="186">
        <f>IFERROR(Materialedata[[#This Row],[C4/m²_nyt]]*Materialedata[[#This Row],[Nyt]],BlankTegn)</f>
        <v>0</v>
      </c>
      <c r="AB29" s="186">
        <f>IFERROR(Materialedata[[#This Row],[D/m²_nyt]]*Materialedata[[#This Row],[Nyt]],BlankTegn)</f>
        <v>-3.7664000000000004</v>
      </c>
      <c r="AC29" s="187">
        <v>221.75668142032504</v>
      </c>
      <c r="AD29" s="188" t="s">
        <v>29</v>
      </c>
      <c r="AE29" s="182">
        <v>1</v>
      </c>
      <c r="AF29" s="189">
        <f>Materialedata[[#This Row],[Pris/enhed]]*Materialedata[[#This Row],[Omregning]]</f>
        <v>221.75668142032504</v>
      </c>
      <c r="AG29" s="190">
        <v>0.02</v>
      </c>
      <c r="AH29" s="191">
        <v>1</v>
      </c>
      <c r="AI29" s="162">
        <v>0</v>
      </c>
      <c r="AJ29" s="141">
        <f>IF(AJ$2&gt;Input_Tidshorisont,BlankTegn,IF(AJ$2=0,SUM(Materialedata[[#This Row],[A1-A3/m²]:[A4/m²]]),
AI29+IF(AJ$2=Input_Tidshorisont,SUM(Materialedata[[#This Row],[C3/m²]:[C4/m²]]),IF(MOD(AJ$2,Materialedata[[#This Row],[Levetid]])=0,SUM(Materialedata[[#This Row],[A1-A3/m²]:[C4/m²]]),0))
))</f>
        <v>-9.6624000000000017</v>
      </c>
      <c r="AK29" s="141">
        <f>IF(AK$2&gt;Input_Tidshorisont,BlankTegn,IF(AK$2=0,SUM(Materialedata[[#This Row],[A1-A3/m²]:[A4/m²]]),
AJ29+IF(AK$2=Input_Tidshorisont,SUM(Materialedata[[#This Row],[C3/m²]:[C4/m²]]),IF(MOD(AK$2,Materialedata[[#This Row],[Levetid]])=0,SUM(Materialedata[[#This Row],[A1-A3/m²]:[C4/m²]]),0))
))</f>
        <v>-9.6624000000000017</v>
      </c>
      <c r="AL29" s="141">
        <f>IF(AL$2&gt;Input_Tidshorisont,BlankTegn,IF(AL$2=0,SUM(Materialedata[[#This Row],[A1-A3/m²]:[A4/m²]]),
AK29+IF(AL$2=Input_Tidshorisont,SUM(Materialedata[[#This Row],[C3/m²]:[C4/m²]]),IF(MOD(AL$2,Materialedata[[#This Row],[Levetid]])=0,SUM(Materialedata[[#This Row],[A1-A3/m²]:[C4/m²]]),0))
))</f>
        <v>-9.6624000000000017</v>
      </c>
      <c r="AM29" s="141">
        <f>IF(AM$2&gt;Input_Tidshorisont,BlankTegn,IF(AM$2=0,SUM(Materialedata[[#This Row],[A1-A3/m²]:[A4/m²]]),
AL29+IF(AM$2=Input_Tidshorisont,SUM(Materialedata[[#This Row],[C3/m²]:[C4/m²]]),IF(MOD(AM$2,Materialedata[[#This Row],[Levetid]])=0,SUM(Materialedata[[#This Row],[A1-A3/m²]:[C4/m²]]),0))
))</f>
        <v>-9.6624000000000017</v>
      </c>
      <c r="AN29" s="141">
        <f>IF(AN$2&gt;Input_Tidshorisont,BlankTegn,IF(AN$2=0,SUM(Materialedata[[#This Row],[A1-A3/m²]:[A4/m²]]),
AM29+IF(AN$2=Input_Tidshorisont,SUM(Materialedata[[#This Row],[C3/m²]:[C4/m²]]),IF(MOD(AN$2,Materialedata[[#This Row],[Levetid]])=0,SUM(Materialedata[[#This Row],[A1-A3/m²]:[C4/m²]]),0))
))</f>
        <v>-9.6624000000000017</v>
      </c>
      <c r="AO29" s="141">
        <f>IF(AO$2&gt;Input_Tidshorisont,BlankTegn,IF(AO$2=0,SUM(Materialedata[[#This Row],[A1-A3/m²]:[A4/m²]]),
AN29+IF(AO$2=Input_Tidshorisont,SUM(Materialedata[[#This Row],[C3/m²]:[C4/m²]]),IF(MOD(AO$2,Materialedata[[#This Row],[Levetid]])=0,SUM(Materialedata[[#This Row],[A1-A3/m²]:[C4/m²]]),0))
))</f>
        <v>-9.6624000000000017</v>
      </c>
      <c r="AP29" s="141">
        <f>IF(AP$2&gt;Input_Tidshorisont,BlankTegn,IF(AP$2=0,SUM(Materialedata[[#This Row],[A1-A3/m²]:[A4/m²]]),
AO29+IF(AP$2=Input_Tidshorisont,SUM(Materialedata[[#This Row],[C3/m²]:[C4/m²]]),IF(MOD(AP$2,Materialedata[[#This Row],[Levetid]])=0,SUM(Materialedata[[#This Row],[A1-A3/m²]:[C4/m²]]),0))
))</f>
        <v>-9.6624000000000017</v>
      </c>
      <c r="AQ29" s="141">
        <f>IF(AQ$2&gt;Input_Tidshorisont,BlankTegn,IF(AQ$2=0,SUM(Materialedata[[#This Row],[A1-A3/m²]:[A4/m²]]),
AP29+IF(AQ$2=Input_Tidshorisont,SUM(Materialedata[[#This Row],[C3/m²]:[C4/m²]]),IF(MOD(AQ$2,Materialedata[[#This Row],[Levetid]])=0,SUM(Materialedata[[#This Row],[A1-A3/m²]:[C4/m²]]),0))
))</f>
        <v>-9.6624000000000017</v>
      </c>
      <c r="AR29" s="141">
        <f>IF(AR$2&gt;Input_Tidshorisont,BlankTegn,IF(AR$2=0,SUM(Materialedata[[#This Row],[A1-A3/m²]:[A4/m²]]),
AQ29+IF(AR$2=Input_Tidshorisont,SUM(Materialedata[[#This Row],[C3/m²]:[C4/m²]]),IF(MOD(AR$2,Materialedata[[#This Row],[Levetid]])=0,SUM(Materialedata[[#This Row],[A1-A3/m²]:[C4/m²]]),0))
))</f>
        <v>-9.6624000000000017</v>
      </c>
      <c r="AS29" s="141">
        <f>IF(AS$2&gt;Input_Tidshorisont,BlankTegn,IF(AS$2=0,SUM(Materialedata[[#This Row],[A1-A3/m²]:[A4/m²]]),
AR29+IF(AS$2=Input_Tidshorisont,SUM(Materialedata[[#This Row],[C3/m²]:[C4/m²]]),IF(MOD(AS$2,Materialedata[[#This Row],[Levetid]])=0,SUM(Materialedata[[#This Row],[A1-A3/m²]:[C4/m²]]),0))
))</f>
        <v>-9.6624000000000017</v>
      </c>
      <c r="AT29" s="141">
        <f>IF(AT$2&gt;Input_Tidshorisont,BlankTegn,IF(AT$2=0,SUM(Materialedata[[#This Row],[A1-A3/m²]:[A4/m²]]),
AS29+IF(AT$2=Input_Tidshorisont,SUM(Materialedata[[#This Row],[C3/m²]:[C4/m²]]),IF(MOD(AT$2,Materialedata[[#This Row],[Levetid]])=0,SUM(Materialedata[[#This Row],[A1-A3/m²]:[C4/m²]]),0))
))</f>
        <v>-9.6624000000000017</v>
      </c>
      <c r="AU29" s="141">
        <f>IF(AU$2&gt;Input_Tidshorisont,BlankTegn,IF(AU$2=0,SUM(Materialedata[[#This Row],[A1-A3/m²]:[A4/m²]]),
AT29+IF(AU$2=Input_Tidshorisont,SUM(Materialedata[[#This Row],[C3/m²]:[C4/m²]]),IF(MOD(AU$2,Materialedata[[#This Row],[Levetid]])=0,SUM(Materialedata[[#This Row],[A1-A3/m²]:[C4/m²]]),0))
))</f>
        <v>-9.6624000000000017</v>
      </c>
      <c r="AV29" s="141">
        <f>IF(AV$2&gt;Input_Tidshorisont,BlankTegn,IF(AV$2=0,SUM(Materialedata[[#This Row],[A1-A3/m²]:[A4/m²]]),
AU29+IF(AV$2=Input_Tidshorisont,SUM(Materialedata[[#This Row],[C3/m²]:[C4/m²]]),IF(MOD(AV$2,Materialedata[[#This Row],[Levetid]])=0,SUM(Materialedata[[#This Row],[A1-A3/m²]:[C4/m²]]),0))
))</f>
        <v>-9.6624000000000017</v>
      </c>
      <c r="AW29" s="141">
        <f>IF(AW$2&gt;Input_Tidshorisont,BlankTegn,IF(AW$2=0,SUM(Materialedata[[#This Row],[A1-A3/m²]:[A4/m²]]),
AV29+IF(AW$2=Input_Tidshorisont,SUM(Materialedata[[#This Row],[C3/m²]:[C4/m²]]),IF(MOD(AW$2,Materialedata[[#This Row],[Levetid]])=0,SUM(Materialedata[[#This Row],[A1-A3/m²]:[C4/m²]]),0))
))</f>
        <v>-9.6624000000000017</v>
      </c>
      <c r="AX29" s="141">
        <f>IF(AX$2&gt;Input_Tidshorisont,BlankTegn,IF(AX$2=0,SUM(Materialedata[[#This Row],[A1-A3/m²]:[A4/m²]]),
AW29+IF(AX$2=Input_Tidshorisont,SUM(Materialedata[[#This Row],[C3/m²]:[C4/m²]]),IF(MOD(AX$2,Materialedata[[#This Row],[Levetid]])=0,SUM(Materialedata[[#This Row],[A1-A3/m²]:[C4/m²]]),0))
))</f>
        <v>-9.6624000000000017</v>
      </c>
      <c r="AY29" s="141">
        <f>IF(AY$2&gt;Input_Tidshorisont,BlankTegn,IF(AY$2=0,SUM(Materialedata[[#This Row],[A1-A3/m²]:[A4/m²]]),
AX29+IF(AY$2=Input_Tidshorisont,SUM(Materialedata[[#This Row],[C3/m²]:[C4/m²]]),IF(MOD(AY$2,Materialedata[[#This Row],[Levetid]])=0,SUM(Materialedata[[#This Row],[A1-A3/m²]:[C4/m²]]),0))
))</f>
        <v>-9.6624000000000017</v>
      </c>
      <c r="AZ29" s="141">
        <f>IF(AZ$2&gt;Input_Tidshorisont,BlankTegn,IF(AZ$2=0,SUM(Materialedata[[#This Row],[A1-A3/m²]:[A4/m²]]),
AY29+IF(AZ$2=Input_Tidshorisont,SUM(Materialedata[[#This Row],[C3/m²]:[C4/m²]]),IF(MOD(AZ$2,Materialedata[[#This Row],[Levetid]])=0,SUM(Materialedata[[#This Row],[A1-A3/m²]:[C4/m²]]),0))
))</f>
        <v>-9.6624000000000017</v>
      </c>
      <c r="BA29" s="141">
        <f>IF(BA$2&gt;Input_Tidshorisont,BlankTegn,IF(BA$2=0,SUM(Materialedata[[#This Row],[A1-A3/m²]:[A4/m²]]),
AZ29+IF(BA$2=Input_Tidshorisont,SUM(Materialedata[[#This Row],[C3/m²]:[C4/m²]]),IF(MOD(BA$2,Materialedata[[#This Row],[Levetid]])=0,SUM(Materialedata[[#This Row],[A1-A3/m²]:[C4/m²]]),0))
))</f>
        <v>-9.6624000000000017</v>
      </c>
      <c r="BB29" s="141">
        <f>IF(BB$2&gt;Input_Tidshorisont,BlankTegn,IF(BB$2=0,SUM(Materialedata[[#This Row],[A1-A3/m²]:[A4/m²]]),
BA29+IF(BB$2=Input_Tidshorisont,SUM(Materialedata[[#This Row],[C3/m²]:[C4/m²]]),IF(MOD(BB$2,Materialedata[[#This Row],[Levetid]])=0,SUM(Materialedata[[#This Row],[A1-A3/m²]:[C4/m²]]),0))
))</f>
        <v>-9.6624000000000017</v>
      </c>
      <c r="BC29" s="141">
        <f>IF(BC$2&gt;Input_Tidshorisont,BlankTegn,IF(BC$2=0,SUM(Materialedata[[#This Row],[A1-A3/m²]:[A4/m²]]),
BB29+IF(BC$2=Input_Tidshorisont,SUM(Materialedata[[#This Row],[C3/m²]:[C4/m²]]),IF(MOD(BC$2,Materialedata[[#This Row],[Levetid]])=0,SUM(Materialedata[[#This Row],[A1-A3/m²]:[C4/m²]]),0))
))</f>
        <v>-9.6624000000000017</v>
      </c>
      <c r="BD29" s="141">
        <f>IF(BD$2&gt;Input_Tidshorisont,BlankTegn,IF(BD$2=0,SUM(Materialedata[[#This Row],[A1-A3/m²]:[A4/m²]]),
BC29+IF(BD$2=Input_Tidshorisont,SUM(Materialedata[[#This Row],[C3/m²]:[C4/m²]]),IF(MOD(BD$2,Materialedata[[#This Row],[Levetid]])=0,SUM(Materialedata[[#This Row],[A1-A3/m²]:[C4/m²]]),0))
))</f>
        <v>-9.6624000000000017</v>
      </c>
      <c r="BE29" s="141">
        <f>IF(BE$2&gt;Input_Tidshorisont,BlankTegn,IF(BE$2=0,SUM(Materialedata[[#This Row],[A1-A3/m²]:[A4/m²]]),
BD29+IF(BE$2=Input_Tidshorisont,SUM(Materialedata[[#This Row],[C3/m²]:[C4/m²]]),IF(MOD(BE$2,Materialedata[[#This Row],[Levetid]])=0,SUM(Materialedata[[#This Row],[A1-A3/m²]:[C4/m²]]),0))
))</f>
        <v>-9.6624000000000017</v>
      </c>
      <c r="BF29" s="141">
        <f>IF(BF$2&gt;Input_Tidshorisont,BlankTegn,IF(BF$2=0,SUM(Materialedata[[#This Row],[A1-A3/m²]:[A4/m²]]),
BE29+IF(BF$2=Input_Tidshorisont,SUM(Materialedata[[#This Row],[C3/m²]:[C4/m²]]),IF(MOD(BF$2,Materialedata[[#This Row],[Levetid]])=0,SUM(Materialedata[[#This Row],[A1-A3/m²]:[C4/m²]]),0))
))</f>
        <v>-9.6624000000000017</v>
      </c>
      <c r="BG29" s="141">
        <f>IF(BG$2&gt;Input_Tidshorisont,BlankTegn,IF(BG$2=0,SUM(Materialedata[[#This Row],[A1-A3/m²]:[A4/m²]]),
BF29+IF(BG$2=Input_Tidshorisont,SUM(Materialedata[[#This Row],[C3/m²]:[C4/m²]]),IF(MOD(BG$2,Materialedata[[#This Row],[Levetid]])=0,SUM(Materialedata[[#This Row],[A1-A3/m²]:[C4/m²]]),0))
))</f>
        <v>-9.6624000000000017</v>
      </c>
      <c r="BH29" s="141">
        <f>IF(BH$2&gt;Input_Tidshorisont,BlankTegn,IF(BH$2=0,SUM(Materialedata[[#This Row],[A1-A3/m²]:[A4/m²]]),
BG29+IF(BH$2=Input_Tidshorisont,SUM(Materialedata[[#This Row],[C3/m²]:[C4/m²]]),IF(MOD(BH$2,Materialedata[[#This Row],[Levetid]])=0,SUM(Materialedata[[#This Row],[A1-A3/m²]:[C4/m²]]),0))
))</f>
        <v>-9.6624000000000017</v>
      </c>
      <c r="BI29" s="141">
        <f>IF(BI$2&gt;Input_Tidshorisont,BlankTegn,IF(BI$2=0,SUM(Materialedata[[#This Row],[A1-A3/m²]:[A4/m²]]),
BH29+IF(BI$2=Input_Tidshorisont,SUM(Materialedata[[#This Row],[C3/m²]:[C4/m²]]),IF(MOD(BI$2,Materialedata[[#This Row],[Levetid]])=0,SUM(Materialedata[[#This Row],[A1-A3/m²]:[C4/m²]]),0))
))</f>
        <v>-9.6624000000000017</v>
      </c>
      <c r="BJ29" s="141">
        <f>IF(BJ$2&gt;Input_Tidshorisont,BlankTegn,IF(BJ$2=0,SUM(Materialedata[[#This Row],[A1-A3/m²]:[A4/m²]]),
BI29+IF(BJ$2=Input_Tidshorisont,SUM(Materialedata[[#This Row],[C3/m²]:[C4/m²]]),IF(MOD(BJ$2,Materialedata[[#This Row],[Levetid]])=0,SUM(Materialedata[[#This Row],[A1-A3/m²]:[C4/m²]]),0))
))</f>
        <v>-9.6624000000000017</v>
      </c>
      <c r="BK29" s="141">
        <f>IF(BK$2&gt;Input_Tidshorisont,BlankTegn,IF(BK$2=0,SUM(Materialedata[[#This Row],[A1-A3/m²]:[A4/m²]]),
BJ29+IF(BK$2=Input_Tidshorisont,SUM(Materialedata[[#This Row],[C3/m²]:[C4/m²]]),IF(MOD(BK$2,Materialedata[[#This Row],[Levetid]])=0,SUM(Materialedata[[#This Row],[A1-A3/m²]:[C4/m²]]),0))
))</f>
        <v>-9.6624000000000017</v>
      </c>
      <c r="BL29" s="141">
        <f>IF(BL$2&gt;Input_Tidshorisont,BlankTegn,IF(BL$2=0,SUM(Materialedata[[#This Row],[A1-A3/m²]:[A4/m²]]),
BK29+IF(BL$2=Input_Tidshorisont,SUM(Materialedata[[#This Row],[C3/m²]:[C4/m²]]),IF(MOD(BL$2,Materialedata[[#This Row],[Levetid]])=0,SUM(Materialedata[[#This Row],[A1-A3/m²]:[C4/m²]]),0))
))</f>
        <v>-9.6624000000000017</v>
      </c>
      <c r="BM29" s="141">
        <f>IF(BM$2&gt;Input_Tidshorisont,BlankTegn,IF(BM$2=0,SUM(Materialedata[[#This Row],[A1-A3/m²]:[A4/m²]]),
BL29+IF(BM$2=Input_Tidshorisont,SUM(Materialedata[[#This Row],[C3/m²]:[C4/m²]]),IF(MOD(BM$2,Materialedata[[#This Row],[Levetid]])=0,SUM(Materialedata[[#This Row],[A1-A3/m²]:[C4/m²]]),0))
))</f>
        <v>-9.6624000000000017</v>
      </c>
      <c r="BN29" s="141">
        <f>IF(BN$2&gt;Input_Tidshorisont,BlankTegn,IF(BN$2=0,SUM(Materialedata[[#This Row],[A1-A3/m²]:[A4/m²]]),
BM29+IF(BN$2=Input_Tidshorisont,SUM(Materialedata[[#This Row],[C3/m²]:[C4/m²]]),IF(MOD(BN$2,Materialedata[[#This Row],[Levetid]])=0,SUM(Materialedata[[#This Row],[A1-A3/m²]:[C4/m²]]),0))
))</f>
        <v>-9.6624000000000017</v>
      </c>
      <c r="BO29" s="141">
        <f>IF(BO$2&gt;Input_Tidshorisont,BlankTegn,IF(BO$2=0,SUM(Materialedata[[#This Row],[A1-A3/m²]:[A4/m²]]),
BN29+IF(BO$2=Input_Tidshorisont,SUM(Materialedata[[#This Row],[C3/m²]:[C4/m²]]),IF(MOD(BO$2,Materialedata[[#This Row],[Levetid]])=0,SUM(Materialedata[[#This Row],[A1-A3/m²]:[C4/m²]]),0))
))</f>
        <v>-9.6624000000000017</v>
      </c>
      <c r="BP29" s="141">
        <f>IF(BP$2&gt;Input_Tidshorisont,BlankTegn,IF(BP$2=0,SUM(Materialedata[[#This Row],[A1-A3/m²]:[A4/m²]]),
BO29+IF(BP$2=Input_Tidshorisont,SUM(Materialedata[[#This Row],[C3/m²]:[C4/m²]]),IF(MOD(BP$2,Materialedata[[#This Row],[Levetid]])=0,SUM(Materialedata[[#This Row],[A1-A3/m²]:[C4/m²]]),0))
))</f>
        <v>-9.6624000000000017</v>
      </c>
      <c r="BQ29" s="141">
        <f>IF(BQ$2&gt;Input_Tidshorisont,BlankTegn,IF(BQ$2=0,SUM(Materialedata[[#This Row],[A1-A3/m²]:[A4/m²]]),
BP29+IF(BQ$2=Input_Tidshorisont,SUM(Materialedata[[#This Row],[C3/m²]:[C4/m²]]),IF(MOD(BQ$2,Materialedata[[#This Row],[Levetid]])=0,SUM(Materialedata[[#This Row],[A1-A3/m²]:[C4/m²]]),0))
))</f>
        <v>-9.6624000000000017</v>
      </c>
      <c r="BR29" s="141">
        <f>IF(BR$2&gt;Input_Tidshorisont,BlankTegn,IF(BR$2=0,SUM(Materialedata[[#This Row],[A1-A3/m²]:[A4/m²]]),
BQ29+IF(BR$2=Input_Tidshorisont,SUM(Materialedata[[#This Row],[C3/m²]:[C4/m²]]),IF(MOD(BR$2,Materialedata[[#This Row],[Levetid]])=0,SUM(Materialedata[[#This Row],[A1-A3/m²]:[C4/m²]]),0))
))</f>
        <v>-9.6624000000000017</v>
      </c>
      <c r="BS29" s="141">
        <f>IF(BS$2&gt;Input_Tidshorisont,BlankTegn,IF(BS$2=0,SUM(Materialedata[[#This Row],[A1-A3/m²]:[A4/m²]]),
BR29+IF(BS$2=Input_Tidshorisont,SUM(Materialedata[[#This Row],[C3/m²]:[C4/m²]]),IF(MOD(BS$2,Materialedata[[#This Row],[Levetid]])=0,SUM(Materialedata[[#This Row],[A1-A3/m²]:[C4/m²]]),0))
))</f>
        <v>-9.6624000000000017</v>
      </c>
      <c r="BT29" s="141">
        <f>IF(BT$2&gt;Input_Tidshorisont,BlankTegn,IF(BT$2=0,SUM(Materialedata[[#This Row],[A1-A3/m²]:[A4/m²]]),
BS29+IF(BT$2=Input_Tidshorisont,SUM(Materialedata[[#This Row],[C3/m²]:[C4/m²]]),IF(MOD(BT$2,Materialedata[[#This Row],[Levetid]])=0,SUM(Materialedata[[#This Row],[A1-A3/m²]:[C4/m²]]),0))
))</f>
        <v>-9.6624000000000017</v>
      </c>
      <c r="BU29" s="141">
        <f>IF(BU$2&gt;Input_Tidshorisont,BlankTegn,IF(BU$2=0,SUM(Materialedata[[#This Row],[A1-A3/m²]:[A4/m²]]),
BT29+IF(BU$2=Input_Tidshorisont,SUM(Materialedata[[#This Row],[C3/m²]:[C4/m²]]),IF(MOD(BU$2,Materialedata[[#This Row],[Levetid]])=0,SUM(Materialedata[[#This Row],[A1-A3/m²]:[C4/m²]]),0))
))</f>
        <v>-9.6624000000000017</v>
      </c>
      <c r="BV29" s="141">
        <f>IF(BV$2&gt;Input_Tidshorisont,BlankTegn,IF(BV$2=0,SUM(Materialedata[[#This Row],[A1-A3/m²]:[A4/m²]]),
BU29+IF(BV$2=Input_Tidshorisont,SUM(Materialedata[[#This Row],[C3/m²]:[C4/m²]]),IF(MOD(BV$2,Materialedata[[#This Row],[Levetid]])=0,SUM(Materialedata[[#This Row],[A1-A3/m²]:[C4/m²]]),0))
))</f>
        <v>-9.6624000000000017</v>
      </c>
      <c r="BW29" s="141">
        <f>IF(BW$2&gt;Input_Tidshorisont,BlankTegn,IF(BW$2=0,SUM(Materialedata[[#This Row],[A1-A3/m²]:[A4/m²]]),
BV29+IF(BW$2=Input_Tidshorisont,SUM(Materialedata[[#This Row],[C3/m²]:[C4/m²]]),IF(MOD(BW$2,Materialedata[[#This Row],[Levetid]])=0,SUM(Materialedata[[#This Row],[A1-A3/m²]:[C4/m²]]),0))
))</f>
        <v>-9.6624000000000017</v>
      </c>
      <c r="BX29" s="141">
        <f>IF(BX$2&gt;Input_Tidshorisont,BlankTegn,IF(BX$2=0,SUM(Materialedata[[#This Row],[A1-A3/m²]:[A4/m²]]),
BW29+IF(BX$2=Input_Tidshorisont,SUM(Materialedata[[#This Row],[C3/m²]:[C4/m²]]),IF(MOD(BX$2,Materialedata[[#This Row],[Levetid]])=0,SUM(Materialedata[[#This Row],[A1-A3/m²]:[C4/m²]]),0))
))</f>
        <v>-9.6624000000000017</v>
      </c>
      <c r="BY29" s="141">
        <f>IF(BY$2&gt;Input_Tidshorisont,BlankTegn,IF(BY$2=0,SUM(Materialedata[[#This Row],[A1-A3/m²]:[A4/m²]]),
BX29+IF(BY$2=Input_Tidshorisont,SUM(Materialedata[[#This Row],[C3/m²]:[C4/m²]]),IF(MOD(BY$2,Materialedata[[#This Row],[Levetid]])=0,SUM(Materialedata[[#This Row],[A1-A3/m²]:[C4/m²]]),0))
))</f>
        <v>-9.6624000000000017</v>
      </c>
      <c r="BZ29" s="141">
        <f>IF(BZ$2&gt;Input_Tidshorisont,BlankTegn,IF(BZ$2=0,SUM(Materialedata[[#This Row],[A1-A3/m²]:[A4/m²]]),
BY29+IF(BZ$2=Input_Tidshorisont,SUM(Materialedata[[#This Row],[C3/m²]:[C4/m²]]),IF(MOD(BZ$2,Materialedata[[#This Row],[Levetid]])=0,SUM(Materialedata[[#This Row],[A1-A3/m²]:[C4/m²]]),0))
))</f>
        <v>-9.6624000000000017</v>
      </c>
      <c r="CA29" s="141">
        <f>IF(CA$2&gt;Input_Tidshorisont,BlankTegn,IF(CA$2=0,SUM(Materialedata[[#This Row],[A1-A3/m²]:[A4/m²]]),
BZ29+IF(CA$2=Input_Tidshorisont,SUM(Materialedata[[#This Row],[C3/m²]:[C4/m²]]),IF(MOD(CA$2,Materialedata[[#This Row],[Levetid]])=0,SUM(Materialedata[[#This Row],[A1-A3/m²]:[C4/m²]]),0))
))</f>
        <v>-9.6624000000000017</v>
      </c>
      <c r="CB29" s="141">
        <f>IF(CB$2&gt;Input_Tidshorisont,BlankTegn,IF(CB$2=0,SUM(Materialedata[[#This Row],[A1-A3/m²]:[A4/m²]]),
CA29+IF(CB$2=Input_Tidshorisont,SUM(Materialedata[[#This Row],[C3/m²]:[C4/m²]]),IF(MOD(CB$2,Materialedata[[#This Row],[Levetid]])=0,SUM(Materialedata[[#This Row],[A1-A3/m²]:[C4/m²]]),0))
))</f>
        <v>-9.6624000000000017</v>
      </c>
      <c r="CC29" s="141">
        <f>IF(CC$2&gt;Input_Tidshorisont,BlankTegn,IF(CC$2=0,SUM(Materialedata[[#This Row],[A1-A3/m²]:[A4/m²]]),
CB29+IF(CC$2=Input_Tidshorisont,SUM(Materialedata[[#This Row],[C3/m²]:[C4/m²]]),IF(MOD(CC$2,Materialedata[[#This Row],[Levetid]])=0,SUM(Materialedata[[#This Row],[A1-A3/m²]:[C4/m²]]),0))
))</f>
        <v>-9.6624000000000017</v>
      </c>
      <c r="CD29" s="141">
        <f>IF(CD$2&gt;Input_Tidshorisont,BlankTegn,IF(CD$2=0,SUM(Materialedata[[#This Row],[A1-A3/m²]:[A4/m²]]),
CC29+IF(CD$2=Input_Tidshorisont,SUM(Materialedata[[#This Row],[C3/m²]:[C4/m²]]),IF(MOD(CD$2,Materialedata[[#This Row],[Levetid]])=0,SUM(Materialedata[[#This Row],[A1-A3/m²]:[C4/m²]]),0))
))</f>
        <v>-9.6624000000000017</v>
      </c>
      <c r="CE29" s="141">
        <f>IF(CE$2&gt;Input_Tidshorisont,BlankTegn,IF(CE$2=0,SUM(Materialedata[[#This Row],[A1-A3/m²]:[A4/m²]]),
CD29+IF(CE$2=Input_Tidshorisont,SUM(Materialedata[[#This Row],[C3/m²]:[C4/m²]]),IF(MOD(CE$2,Materialedata[[#This Row],[Levetid]])=0,SUM(Materialedata[[#This Row],[A1-A3/m²]:[C4/m²]]),0))
))</f>
        <v>-9.6624000000000017</v>
      </c>
      <c r="CF29" s="141">
        <f>IF(CF$2&gt;Input_Tidshorisont,BlankTegn,IF(CF$2=0,SUM(Materialedata[[#This Row],[A1-A3/m²]:[A4/m²]]),
CE29+IF(CF$2=Input_Tidshorisont,SUM(Materialedata[[#This Row],[C3/m²]:[C4/m²]]),IF(MOD(CF$2,Materialedata[[#This Row],[Levetid]])=0,SUM(Materialedata[[#This Row],[A1-A3/m²]:[C4/m²]]),0))
))</f>
        <v>-9.6624000000000017</v>
      </c>
      <c r="CG29" s="141">
        <f>IF(CG$2&gt;Input_Tidshorisont,BlankTegn,IF(CG$2=0,SUM(Materialedata[[#This Row],[A1-A3/m²]:[A4/m²]]),
CF29+IF(CG$2=Input_Tidshorisont,SUM(Materialedata[[#This Row],[C3/m²]:[C4/m²]]),IF(MOD(CG$2,Materialedata[[#This Row],[Levetid]])=0,SUM(Materialedata[[#This Row],[A1-A3/m²]:[C4/m²]]),0))
))</f>
        <v>-9.6624000000000017</v>
      </c>
      <c r="CH29" s="141">
        <f>IF(CH$2&gt;Input_Tidshorisont,BlankTegn,IF(CH$2=0,SUM(Materialedata[[#This Row],[A1-A3/m²]:[A4/m²]]),
CG29+IF(CH$2=Input_Tidshorisont,SUM(Materialedata[[#This Row],[C3/m²]:[C4/m²]]),IF(MOD(CH$2,Materialedata[[#This Row],[Levetid]])=0,SUM(Materialedata[[#This Row],[A1-A3/m²]:[C4/m²]]),0))
))</f>
        <v>6.0015999999999998</v>
      </c>
      <c r="CI29" s="141" t="str">
        <f>IF(CI$2&gt;Input_Tidshorisont,BlankTegn,IF(CI$2=0,SUM(Materialedata[[#This Row],[A1-A3/m²]:[A4/m²]]),
CH29+IF(CI$2=Input_Tidshorisont,SUM(Materialedata[[#This Row],[C3/m²]:[C4/m²]]),IF(MOD(CI$2,Materialedata[[#This Row],[Levetid]])=0,SUM(Materialedata[[#This Row],[A1-A3/m²]:[C4/m²]]),0))
))</f>
        <v>.</v>
      </c>
      <c r="CJ29" s="141" t="str">
        <f>IF(CJ$2&gt;Input_Tidshorisont,BlankTegn,IF(CJ$2=0,SUM(Materialedata[[#This Row],[A1-A3/m²]:[A4/m²]]),
CI29+IF(CJ$2=Input_Tidshorisont,SUM(Materialedata[[#This Row],[C3/m²]:[C4/m²]]),IF(MOD(CJ$2,Materialedata[[#This Row],[Levetid]])=0,SUM(Materialedata[[#This Row],[A1-A3/m²]:[C4/m²]]),0))
))</f>
        <v>.</v>
      </c>
      <c r="CK29" s="141" t="str">
        <f>IF(CK$2&gt;Input_Tidshorisont,BlankTegn,IF(CK$2=0,SUM(Materialedata[[#This Row],[A1-A3/m²]:[A4/m²]]),
CJ29+IF(CK$2=Input_Tidshorisont,SUM(Materialedata[[#This Row],[C3/m²]:[C4/m²]]),IF(MOD(CK$2,Materialedata[[#This Row],[Levetid]])=0,SUM(Materialedata[[#This Row],[A1-A3/m²]:[C4/m²]]),0))
))</f>
        <v>.</v>
      </c>
      <c r="CL29" s="141" t="str">
        <f>IF(CL$2&gt;Input_Tidshorisont,BlankTegn,IF(CL$2=0,SUM(Materialedata[[#This Row],[A1-A3/m²]:[A4/m²]]),
CK29+IF(CL$2=Input_Tidshorisont,SUM(Materialedata[[#This Row],[C3/m²]:[C4/m²]]),IF(MOD(CL$2,Materialedata[[#This Row],[Levetid]])=0,SUM(Materialedata[[#This Row],[A1-A3/m²]:[C4/m²]]),0))
))</f>
        <v>.</v>
      </c>
      <c r="CM29" s="141" t="str">
        <f>IF(CM$2&gt;Input_Tidshorisont,BlankTegn,IF(CM$2=0,SUM(Materialedata[[#This Row],[A1-A3/m²]:[A4/m²]]),
CL29+IF(CM$2=Input_Tidshorisont,SUM(Materialedata[[#This Row],[C3/m²]:[C4/m²]]),IF(MOD(CM$2,Materialedata[[#This Row],[Levetid]])=0,SUM(Materialedata[[#This Row],[A1-A3/m²]:[C4/m²]]),0))
))</f>
        <v>.</v>
      </c>
      <c r="CN29" s="141" t="str">
        <f>IF(CN$2&gt;Input_Tidshorisont,BlankTegn,IF(CN$2=0,SUM(Materialedata[[#This Row],[A1-A3/m²]:[A4/m²]]),
CM29+IF(CN$2=Input_Tidshorisont,SUM(Materialedata[[#This Row],[C3/m²]:[C4/m²]]),IF(MOD(CN$2,Materialedata[[#This Row],[Levetid]])=0,SUM(Materialedata[[#This Row],[A1-A3/m²]:[C4/m²]]),0))
))</f>
        <v>.</v>
      </c>
      <c r="CO29" s="141" t="str">
        <f>IF(CO$2&gt;Input_Tidshorisont,BlankTegn,IF(CO$2=0,SUM(Materialedata[[#This Row],[A1-A3/m²]:[A4/m²]]),
CN29+IF(CO$2=Input_Tidshorisont,SUM(Materialedata[[#This Row],[C3/m²]:[C4/m²]]),IF(MOD(CO$2,Materialedata[[#This Row],[Levetid]])=0,SUM(Materialedata[[#This Row],[A1-A3/m²]:[C4/m²]]),0))
))</f>
        <v>.</v>
      </c>
      <c r="CP29" s="141" t="str">
        <f>IF(CP$2&gt;Input_Tidshorisont,BlankTegn,IF(CP$2=0,SUM(Materialedata[[#This Row],[A1-A3/m²]:[A4/m²]]),
CO29+IF(CP$2=Input_Tidshorisont,SUM(Materialedata[[#This Row],[C3/m²]:[C4/m²]]),IF(MOD(CP$2,Materialedata[[#This Row],[Levetid]])=0,SUM(Materialedata[[#This Row],[A1-A3/m²]:[C4/m²]]),0))
))</f>
        <v>.</v>
      </c>
      <c r="CQ29" s="141" t="str">
        <f>IF(CQ$2&gt;Input_Tidshorisont,BlankTegn,IF(CQ$2=0,SUM(Materialedata[[#This Row],[A1-A3/m²]:[A4/m²]]),
CP29+IF(CQ$2=Input_Tidshorisont,SUM(Materialedata[[#This Row],[C3/m²]:[C4/m²]]),IF(MOD(CQ$2,Materialedata[[#This Row],[Levetid]])=0,SUM(Materialedata[[#This Row],[A1-A3/m²]:[C4/m²]]),0))
))</f>
        <v>.</v>
      </c>
      <c r="CR29" s="141" t="str">
        <f>IF(CR$2&gt;Input_Tidshorisont,BlankTegn,IF(CR$2=0,SUM(Materialedata[[#This Row],[A1-A3/m²]:[A4/m²]]),
CQ29+IF(CR$2=Input_Tidshorisont,SUM(Materialedata[[#This Row],[C3/m²]:[C4/m²]]),IF(MOD(CR$2,Materialedata[[#This Row],[Levetid]])=0,SUM(Materialedata[[#This Row],[A1-A3/m²]:[C4/m²]]),0))
))</f>
        <v>.</v>
      </c>
      <c r="CS29" s="141" t="str">
        <f>IF(CS$2&gt;Input_Tidshorisont,BlankTegn,IF(CS$2=0,SUM(Materialedata[[#This Row],[A1-A3/m²]:[A4/m²]]),
CR29+IF(CS$2=Input_Tidshorisont,SUM(Materialedata[[#This Row],[C3/m²]:[C4/m²]]),IF(MOD(CS$2,Materialedata[[#This Row],[Levetid]])=0,SUM(Materialedata[[#This Row],[A1-A3/m²]:[C4/m²]]),0))
))</f>
        <v>.</v>
      </c>
      <c r="CT29" s="141" t="str">
        <f>IF(CT$2&gt;Input_Tidshorisont,BlankTegn,IF(CT$2=0,SUM(Materialedata[[#This Row],[A1-A3/m²]:[A4/m²]]),
CS29+IF(CT$2=Input_Tidshorisont,SUM(Materialedata[[#This Row],[C3/m²]:[C4/m²]]),IF(MOD(CT$2,Materialedata[[#This Row],[Levetid]])=0,SUM(Materialedata[[#This Row],[A1-A3/m²]:[C4/m²]]),0))
))</f>
        <v>.</v>
      </c>
      <c r="CU29" s="141" t="str">
        <f>IF(CU$2&gt;Input_Tidshorisont,BlankTegn,IF(CU$2=0,SUM(Materialedata[[#This Row],[A1-A3/m²]:[A4/m²]]),
CT29+IF(CU$2=Input_Tidshorisont,SUM(Materialedata[[#This Row],[C3/m²]:[C4/m²]]),IF(MOD(CU$2,Materialedata[[#This Row],[Levetid]])=0,SUM(Materialedata[[#This Row],[A1-A3/m²]:[C4/m²]]),0))
))</f>
        <v>.</v>
      </c>
      <c r="CV29" s="141" t="str">
        <f>IF(CV$2&gt;Input_Tidshorisont,BlankTegn,IF(CV$2=0,SUM(Materialedata[[#This Row],[A1-A3/m²]:[A4/m²]]),
CU29+IF(CV$2=Input_Tidshorisont,SUM(Materialedata[[#This Row],[C3/m²]:[C4/m²]]),IF(MOD(CV$2,Materialedata[[#This Row],[Levetid]])=0,SUM(Materialedata[[#This Row],[A1-A3/m²]:[C4/m²]]),0))
))</f>
        <v>.</v>
      </c>
      <c r="CW29" s="141" t="str">
        <f>IF(CW$2&gt;Input_Tidshorisont,BlankTegn,IF(CW$2=0,SUM(Materialedata[[#This Row],[A1-A3/m²]:[A4/m²]]),
CV29+IF(CW$2=Input_Tidshorisont,SUM(Materialedata[[#This Row],[C3/m²]:[C4/m²]]),IF(MOD(CW$2,Materialedata[[#This Row],[Levetid]])=0,SUM(Materialedata[[#This Row],[A1-A3/m²]:[C4/m²]]),0))
))</f>
        <v>.</v>
      </c>
      <c r="CX29" s="141" t="str">
        <f>IF(CX$2&gt;Input_Tidshorisont,BlankTegn,IF(CX$2=0,SUM(Materialedata[[#This Row],[A1-A3/m²]:[A4/m²]]),
CW29+IF(CX$2=Input_Tidshorisont,SUM(Materialedata[[#This Row],[C3/m²]:[C4/m²]]),IF(MOD(CX$2,Materialedata[[#This Row],[Levetid]])=0,SUM(Materialedata[[#This Row],[A1-A3/m²]:[C4/m²]]),0))
))</f>
        <v>.</v>
      </c>
      <c r="CY29" s="141" t="str">
        <f>IF(CY$2&gt;Input_Tidshorisont,BlankTegn,IF(CY$2=0,SUM(Materialedata[[#This Row],[A1-A3/m²]:[A4/m²]]),
CX29+IF(CY$2=Input_Tidshorisont,SUM(Materialedata[[#This Row],[C3/m²]:[C4/m²]]),IF(MOD(CY$2,Materialedata[[#This Row],[Levetid]])=0,SUM(Materialedata[[#This Row],[A1-A3/m²]:[C4/m²]]),0))
))</f>
        <v>.</v>
      </c>
      <c r="CZ29" s="141" t="str">
        <f>IF(CZ$2&gt;Input_Tidshorisont,BlankTegn,IF(CZ$2=0,SUM(Materialedata[[#This Row],[A1-A3/m²]:[A4/m²]]),
CY29+IF(CZ$2=Input_Tidshorisont,SUM(Materialedata[[#This Row],[C3/m²]:[C4/m²]]),IF(MOD(CZ$2,Materialedata[[#This Row],[Levetid]])=0,SUM(Materialedata[[#This Row],[A1-A3/m²]:[C4/m²]]),0))
))</f>
        <v>.</v>
      </c>
      <c r="DA29" s="141" t="str">
        <f>IF(DA$2&gt;Input_Tidshorisont,BlankTegn,IF(DA$2=0,SUM(Materialedata[[#This Row],[A1-A3/m²]:[A4/m²]]),
CZ29+IF(DA$2=Input_Tidshorisont,SUM(Materialedata[[#This Row],[C3/m²]:[C4/m²]]),IF(MOD(DA$2,Materialedata[[#This Row],[Levetid]])=0,SUM(Materialedata[[#This Row],[A1-A3/m²]:[C4/m²]]),0))
))</f>
        <v>.</v>
      </c>
      <c r="DB29" s="141" t="str">
        <f>IF(DB$2&gt;Input_Tidshorisont,BlankTegn,IF(DB$2=0,SUM(Materialedata[[#This Row],[A1-A3/m²]:[A4/m²]]),
DA29+IF(DB$2=Input_Tidshorisont,SUM(Materialedata[[#This Row],[C3/m²]:[C4/m²]]),IF(MOD(DB$2,Materialedata[[#This Row],[Levetid]])=0,SUM(Materialedata[[#This Row],[A1-A3/m²]:[C4/m²]]),0))
))</f>
        <v>.</v>
      </c>
      <c r="DC29" s="141" t="str">
        <f>IF(DC$2&gt;Input_Tidshorisont,BlankTegn,IF(DC$2=0,SUM(Materialedata[[#This Row],[A1-A3/m²]:[A4/m²]]),
DB29+IF(DC$2=Input_Tidshorisont,SUM(Materialedata[[#This Row],[C3/m²]:[C4/m²]]),IF(MOD(DC$2,Materialedata[[#This Row],[Levetid]])=0,SUM(Materialedata[[#This Row],[A1-A3/m²]:[C4/m²]]),0))
))</f>
        <v>.</v>
      </c>
      <c r="DD29" s="141" t="str">
        <f>IF(DD$2&gt;Input_Tidshorisont,BlankTegn,IF(DD$2=0,SUM(Materialedata[[#This Row],[A1-A3/m²]:[A4/m²]]),
DC29+IF(DD$2=Input_Tidshorisont,SUM(Materialedata[[#This Row],[C3/m²]:[C4/m²]]),IF(MOD(DD$2,Materialedata[[#This Row],[Levetid]])=0,SUM(Materialedata[[#This Row],[A1-A3/m²]:[C4/m²]]),0))
))</f>
        <v>.</v>
      </c>
      <c r="DE29" s="141" t="str">
        <f>IF(DE$2&gt;Input_Tidshorisont,BlankTegn,IF(DE$2=0,SUM(Materialedata[[#This Row],[A1-A3/m²]:[A4/m²]]),
DD29+IF(DE$2=Input_Tidshorisont,SUM(Materialedata[[#This Row],[C3/m²]:[C4/m²]]),IF(MOD(DE$2,Materialedata[[#This Row],[Levetid]])=0,SUM(Materialedata[[#This Row],[A1-A3/m²]:[C4/m²]]),0))
))</f>
        <v>.</v>
      </c>
      <c r="DF29" s="141" t="str">
        <f>IF(DF$2&gt;Input_Tidshorisont,BlankTegn,IF(DF$2=0,SUM(Materialedata[[#This Row],[A1-A3/m²]:[A4/m²]]),
DE29+IF(DF$2=Input_Tidshorisont,SUM(Materialedata[[#This Row],[C3/m²]:[C4/m²]]),IF(MOD(DF$2,Materialedata[[#This Row],[Levetid]])=0,SUM(Materialedata[[#This Row],[A1-A3/m²]:[C4/m²]]),0))
))</f>
        <v>.</v>
      </c>
      <c r="DG29" s="141" t="str">
        <f>IF(DG$2&gt;Input_Tidshorisont,BlankTegn,IF(DG$2=0,SUM(Materialedata[[#This Row],[A1-A3/m²]:[A4/m²]]),
DF29+IF(DG$2=Input_Tidshorisont,SUM(Materialedata[[#This Row],[C3/m²]:[C4/m²]]),IF(MOD(DG$2,Materialedata[[#This Row],[Levetid]])=0,SUM(Materialedata[[#This Row],[A1-A3/m²]:[C4/m²]]),0))
))</f>
        <v>.</v>
      </c>
      <c r="DH29" s="141" t="str">
        <f>IF(DH$2&gt;Input_Tidshorisont,BlankTegn,IF(DH$2=0,SUM(Materialedata[[#This Row],[A1-A3/m²]:[A4/m²]]),
DG29+IF(DH$2=Input_Tidshorisont,SUM(Materialedata[[#This Row],[C3/m²]:[C4/m²]]),IF(MOD(DH$2,Materialedata[[#This Row],[Levetid]])=0,SUM(Materialedata[[#This Row],[A1-A3/m²]:[C4/m²]]),0))
))</f>
        <v>.</v>
      </c>
      <c r="DI29" s="141" t="str">
        <f>IF(DI$2&gt;Input_Tidshorisont,BlankTegn,IF(DI$2=0,SUM(Materialedata[[#This Row],[A1-A3/m²]:[A4/m²]]),
DH29+IF(DI$2=Input_Tidshorisont,SUM(Materialedata[[#This Row],[C3/m²]:[C4/m²]]),IF(MOD(DI$2,Materialedata[[#This Row],[Levetid]])=0,SUM(Materialedata[[#This Row],[A1-A3/m²]:[C4/m²]]),0))
))</f>
        <v>.</v>
      </c>
      <c r="DJ29" s="141" t="str">
        <f>IF(DJ$2&gt;Input_Tidshorisont,BlankTegn,IF(DJ$2=0,SUM(Materialedata[[#This Row],[A1-A3/m²]:[A4/m²]]),
DI29+IF(DJ$2=Input_Tidshorisont,SUM(Materialedata[[#This Row],[C3/m²]:[C4/m²]]),IF(MOD(DJ$2,Materialedata[[#This Row],[Levetid]])=0,SUM(Materialedata[[#This Row],[A1-A3/m²]:[C4/m²]]),0))
))</f>
        <v>.</v>
      </c>
      <c r="DK29" s="141" t="str">
        <f>IF(DK$2&gt;Input_Tidshorisont,BlankTegn,IF(DK$2=0,SUM(Materialedata[[#This Row],[A1-A3/m²]:[A4/m²]]),
DJ29+IF(DK$2=Input_Tidshorisont,SUM(Materialedata[[#This Row],[C3/m²]:[C4/m²]]),IF(MOD(DK$2,Materialedata[[#This Row],[Levetid]])=0,SUM(Materialedata[[#This Row],[A1-A3/m²]:[C4/m²]]),0))
))</f>
        <v>.</v>
      </c>
      <c r="DL29" s="141" t="str">
        <f>IF(DL$2&gt;Input_Tidshorisont,BlankTegn,IF(DL$2=0,SUM(Materialedata[[#This Row],[A1-A3/m²]:[A4/m²]]),
DK29+IF(DL$2=Input_Tidshorisont,SUM(Materialedata[[#This Row],[C3/m²]:[C4/m²]]),IF(MOD(DL$2,Materialedata[[#This Row],[Levetid]])=0,SUM(Materialedata[[#This Row],[A1-A3/m²]:[C4/m²]]),0))
))</f>
        <v>.</v>
      </c>
      <c r="DM29" s="19"/>
    </row>
    <row r="30" spans="1:117">
      <c r="A30" s="182" t="s">
        <v>248</v>
      </c>
      <c r="B30" s="182" t="s">
        <v>170</v>
      </c>
      <c r="C30" s="148" t="s">
        <v>131</v>
      </c>
      <c r="D30" s="184"/>
      <c r="E30" s="180" t="s">
        <v>169</v>
      </c>
      <c r="F30" s="182" t="s">
        <v>134</v>
      </c>
      <c r="G30" s="182">
        <v>60</v>
      </c>
      <c r="H30" s="183">
        <v>44</v>
      </c>
      <c r="I30" s="184">
        <f>0.15*1*1</f>
        <v>0.15</v>
      </c>
      <c r="J30" s="184" t="s">
        <v>232</v>
      </c>
      <c r="K30" s="182">
        <v>-1.19</v>
      </c>
      <c r="L30" s="182" t="s">
        <v>220</v>
      </c>
      <c r="M30" s="185">
        <f>IF(ISBLANK(Materialedata[[#This Row],[A4-gruppe]]),BlankTegn,INDEX(Byggeproces[GWP],MATCH(Materialedata[[#This Row],[A4-gruppe]],Byggeproces[Gruppe/Undergruppe],0)))</f>
        <v>9.1999999999999998E-2</v>
      </c>
      <c r="N30" s="182">
        <v>1.78</v>
      </c>
      <c r="O30" s="182">
        <v>0</v>
      </c>
      <c r="P30" s="182">
        <v>-0.42799999999999999</v>
      </c>
      <c r="Q30" s="277">
        <f>Materialedata[[#This Row],[A1-A3/standardenhed]]*Materialedata[[#This Row],[Densitet]]*0.15</f>
        <v>-7.8539999999999992</v>
      </c>
      <c r="R30" s="278" cm="1">
        <f t="array" ref="R30">IFERROR(_xlfn.IFS(Materialedata[[#This Row],[Mængde-enhed]]="kg/m²",Materialedata[[#This Row],[A4/kg]]*Materialedata[[#This Row],[Mængde/m²]],Materialedata[[#This Row],[Mængde-enhed]]="m³/m²",Materialedata[[#This Row],[A4/kg]]*Materialedata[[#This Row],[Mængde/m²]]*Materialedata[[#This Row],[Densitet]]),"N/A")</f>
        <v>0.60719999999999996</v>
      </c>
      <c r="S30" s="277">
        <f>Materialedata[[#This Row],[C3/enhed]]*Materialedata[[#This Row],[Densitet]]*0.15</f>
        <v>11.748000000000001</v>
      </c>
      <c r="T30" s="277">
        <f>Materialedata[[#This Row],[C4/enhed]]*Materialedata[[#This Row],[Densitet]]*0.15</f>
        <v>0</v>
      </c>
      <c r="U30" s="277">
        <f>Materialedata[[#This Row],[D/enhed]]*Materialedata[[#This Row],[Densitet]]*0.15</f>
        <v>-2.8248000000000002</v>
      </c>
      <c r="V30" s="150">
        <f>IFERROR(INDEX(Range_Materiale_Genbrug,MATCH(Materialedata[[#This Row],[Komponent]],Facadekomponenter,0)),BlankTegn)</f>
        <v>0</v>
      </c>
      <c r="W30" s="150">
        <f>IFERROR(1-Materialedata[[#This Row],[Genbrug]],BlankTegn)</f>
        <v>1</v>
      </c>
      <c r="X30" s="186">
        <f>IFERROR(Materialedata[[#This Row],[A1-A3/m²_nyt]]*Materialedata[[#This Row],[Nyt]],BlankTegn)</f>
        <v>-7.8539999999999992</v>
      </c>
      <c r="Y30" s="186">
        <f>Materialedata[[#This Row],[A4/m²_nyt]]</f>
        <v>0.60719999999999996</v>
      </c>
      <c r="Z30" s="186">
        <f>IFERROR(Materialedata[[#This Row],[C3/m²_nyt]]*Materialedata[[#This Row],[Nyt]],BlankTegn)</f>
        <v>11.748000000000001</v>
      </c>
      <c r="AA30" s="186">
        <f>IFERROR(Materialedata[[#This Row],[C4/m²_nyt]]*Materialedata[[#This Row],[Nyt]],BlankTegn)</f>
        <v>0</v>
      </c>
      <c r="AB30" s="186">
        <f>IFERROR(Materialedata[[#This Row],[D/m²_nyt]]*Materialedata[[#This Row],[Nyt]],BlankTegn)</f>
        <v>-2.8248000000000002</v>
      </c>
      <c r="AC30" s="187">
        <v>193.91709189606769</v>
      </c>
      <c r="AD30" s="188" t="s">
        <v>29</v>
      </c>
      <c r="AE30" s="182">
        <v>1</v>
      </c>
      <c r="AF30" s="189">
        <f>Materialedata[[#This Row],[Pris/enhed]]*Materialedata[[#This Row],[Omregning]]</f>
        <v>193.91709189606769</v>
      </c>
      <c r="AG30" s="190">
        <v>0.02</v>
      </c>
      <c r="AH30" s="191">
        <v>1</v>
      </c>
      <c r="AI30" s="162">
        <v>0</v>
      </c>
      <c r="AJ30" s="141">
        <f>IF(AJ$2&gt;Input_Tidshorisont,BlankTegn,IF(AJ$2=0,SUM(Materialedata[[#This Row],[A1-A3/m²]:[A4/m²]]),
AI30+IF(AJ$2=Input_Tidshorisont,SUM(Materialedata[[#This Row],[C3/m²]:[C4/m²]]),IF(MOD(AJ$2,Materialedata[[#This Row],[Levetid]])=0,SUM(Materialedata[[#This Row],[A1-A3/m²]:[C4/m²]]),0))
))</f>
        <v>-7.2467999999999995</v>
      </c>
      <c r="AK30" s="141">
        <f>IF(AK$2&gt;Input_Tidshorisont,BlankTegn,IF(AK$2=0,SUM(Materialedata[[#This Row],[A1-A3/m²]:[A4/m²]]),
AJ30+IF(AK$2=Input_Tidshorisont,SUM(Materialedata[[#This Row],[C3/m²]:[C4/m²]]),IF(MOD(AK$2,Materialedata[[#This Row],[Levetid]])=0,SUM(Materialedata[[#This Row],[A1-A3/m²]:[C4/m²]]),0))
))</f>
        <v>-7.2467999999999995</v>
      </c>
      <c r="AL30" s="141">
        <f>IF(AL$2&gt;Input_Tidshorisont,BlankTegn,IF(AL$2=0,SUM(Materialedata[[#This Row],[A1-A3/m²]:[A4/m²]]),
AK30+IF(AL$2=Input_Tidshorisont,SUM(Materialedata[[#This Row],[C3/m²]:[C4/m²]]),IF(MOD(AL$2,Materialedata[[#This Row],[Levetid]])=0,SUM(Materialedata[[#This Row],[A1-A3/m²]:[C4/m²]]),0))
))</f>
        <v>-7.2467999999999995</v>
      </c>
      <c r="AM30" s="141">
        <f>IF(AM$2&gt;Input_Tidshorisont,BlankTegn,IF(AM$2=0,SUM(Materialedata[[#This Row],[A1-A3/m²]:[A4/m²]]),
AL30+IF(AM$2=Input_Tidshorisont,SUM(Materialedata[[#This Row],[C3/m²]:[C4/m²]]),IF(MOD(AM$2,Materialedata[[#This Row],[Levetid]])=0,SUM(Materialedata[[#This Row],[A1-A3/m²]:[C4/m²]]),0))
))</f>
        <v>-7.2467999999999995</v>
      </c>
      <c r="AN30" s="141">
        <f>IF(AN$2&gt;Input_Tidshorisont,BlankTegn,IF(AN$2=0,SUM(Materialedata[[#This Row],[A1-A3/m²]:[A4/m²]]),
AM30+IF(AN$2=Input_Tidshorisont,SUM(Materialedata[[#This Row],[C3/m²]:[C4/m²]]),IF(MOD(AN$2,Materialedata[[#This Row],[Levetid]])=0,SUM(Materialedata[[#This Row],[A1-A3/m²]:[C4/m²]]),0))
))</f>
        <v>-7.2467999999999995</v>
      </c>
      <c r="AO30" s="141">
        <f>IF(AO$2&gt;Input_Tidshorisont,BlankTegn,IF(AO$2=0,SUM(Materialedata[[#This Row],[A1-A3/m²]:[A4/m²]]),
AN30+IF(AO$2=Input_Tidshorisont,SUM(Materialedata[[#This Row],[C3/m²]:[C4/m²]]),IF(MOD(AO$2,Materialedata[[#This Row],[Levetid]])=0,SUM(Materialedata[[#This Row],[A1-A3/m²]:[C4/m²]]),0))
))</f>
        <v>-7.2467999999999995</v>
      </c>
      <c r="AP30" s="141">
        <f>IF(AP$2&gt;Input_Tidshorisont,BlankTegn,IF(AP$2=0,SUM(Materialedata[[#This Row],[A1-A3/m²]:[A4/m²]]),
AO30+IF(AP$2=Input_Tidshorisont,SUM(Materialedata[[#This Row],[C3/m²]:[C4/m²]]),IF(MOD(AP$2,Materialedata[[#This Row],[Levetid]])=0,SUM(Materialedata[[#This Row],[A1-A3/m²]:[C4/m²]]),0))
))</f>
        <v>-7.2467999999999995</v>
      </c>
      <c r="AQ30" s="141">
        <f>IF(AQ$2&gt;Input_Tidshorisont,BlankTegn,IF(AQ$2=0,SUM(Materialedata[[#This Row],[A1-A3/m²]:[A4/m²]]),
AP30+IF(AQ$2=Input_Tidshorisont,SUM(Materialedata[[#This Row],[C3/m²]:[C4/m²]]),IF(MOD(AQ$2,Materialedata[[#This Row],[Levetid]])=0,SUM(Materialedata[[#This Row],[A1-A3/m²]:[C4/m²]]),0))
))</f>
        <v>-7.2467999999999995</v>
      </c>
      <c r="AR30" s="141">
        <f>IF(AR$2&gt;Input_Tidshorisont,BlankTegn,IF(AR$2=0,SUM(Materialedata[[#This Row],[A1-A3/m²]:[A4/m²]]),
AQ30+IF(AR$2=Input_Tidshorisont,SUM(Materialedata[[#This Row],[C3/m²]:[C4/m²]]),IF(MOD(AR$2,Materialedata[[#This Row],[Levetid]])=0,SUM(Materialedata[[#This Row],[A1-A3/m²]:[C4/m²]]),0))
))</f>
        <v>-7.2467999999999995</v>
      </c>
      <c r="AS30" s="141">
        <f>IF(AS$2&gt;Input_Tidshorisont,BlankTegn,IF(AS$2=0,SUM(Materialedata[[#This Row],[A1-A3/m²]:[A4/m²]]),
AR30+IF(AS$2=Input_Tidshorisont,SUM(Materialedata[[#This Row],[C3/m²]:[C4/m²]]),IF(MOD(AS$2,Materialedata[[#This Row],[Levetid]])=0,SUM(Materialedata[[#This Row],[A1-A3/m²]:[C4/m²]]),0))
))</f>
        <v>-7.2467999999999995</v>
      </c>
      <c r="AT30" s="141">
        <f>IF(AT$2&gt;Input_Tidshorisont,BlankTegn,IF(AT$2=0,SUM(Materialedata[[#This Row],[A1-A3/m²]:[A4/m²]]),
AS30+IF(AT$2=Input_Tidshorisont,SUM(Materialedata[[#This Row],[C3/m²]:[C4/m²]]),IF(MOD(AT$2,Materialedata[[#This Row],[Levetid]])=0,SUM(Materialedata[[#This Row],[A1-A3/m²]:[C4/m²]]),0))
))</f>
        <v>-7.2467999999999995</v>
      </c>
      <c r="AU30" s="141">
        <f>IF(AU$2&gt;Input_Tidshorisont,BlankTegn,IF(AU$2=0,SUM(Materialedata[[#This Row],[A1-A3/m²]:[A4/m²]]),
AT30+IF(AU$2=Input_Tidshorisont,SUM(Materialedata[[#This Row],[C3/m²]:[C4/m²]]),IF(MOD(AU$2,Materialedata[[#This Row],[Levetid]])=0,SUM(Materialedata[[#This Row],[A1-A3/m²]:[C4/m²]]),0))
))</f>
        <v>-7.2467999999999995</v>
      </c>
      <c r="AV30" s="141">
        <f>IF(AV$2&gt;Input_Tidshorisont,BlankTegn,IF(AV$2=0,SUM(Materialedata[[#This Row],[A1-A3/m²]:[A4/m²]]),
AU30+IF(AV$2=Input_Tidshorisont,SUM(Materialedata[[#This Row],[C3/m²]:[C4/m²]]),IF(MOD(AV$2,Materialedata[[#This Row],[Levetid]])=0,SUM(Materialedata[[#This Row],[A1-A3/m²]:[C4/m²]]),0))
))</f>
        <v>-7.2467999999999995</v>
      </c>
      <c r="AW30" s="141">
        <f>IF(AW$2&gt;Input_Tidshorisont,BlankTegn,IF(AW$2=0,SUM(Materialedata[[#This Row],[A1-A3/m²]:[A4/m²]]),
AV30+IF(AW$2=Input_Tidshorisont,SUM(Materialedata[[#This Row],[C3/m²]:[C4/m²]]),IF(MOD(AW$2,Materialedata[[#This Row],[Levetid]])=0,SUM(Materialedata[[#This Row],[A1-A3/m²]:[C4/m²]]),0))
))</f>
        <v>-7.2467999999999995</v>
      </c>
      <c r="AX30" s="141">
        <f>IF(AX$2&gt;Input_Tidshorisont,BlankTegn,IF(AX$2=0,SUM(Materialedata[[#This Row],[A1-A3/m²]:[A4/m²]]),
AW30+IF(AX$2=Input_Tidshorisont,SUM(Materialedata[[#This Row],[C3/m²]:[C4/m²]]),IF(MOD(AX$2,Materialedata[[#This Row],[Levetid]])=0,SUM(Materialedata[[#This Row],[A1-A3/m²]:[C4/m²]]),0))
))</f>
        <v>-7.2467999999999995</v>
      </c>
      <c r="AY30" s="141">
        <f>IF(AY$2&gt;Input_Tidshorisont,BlankTegn,IF(AY$2=0,SUM(Materialedata[[#This Row],[A1-A3/m²]:[A4/m²]]),
AX30+IF(AY$2=Input_Tidshorisont,SUM(Materialedata[[#This Row],[C3/m²]:[C4/m²]]),IF(MOD(AY$2,Materialedata[[#This Row],[Levetid]])=0,SUM(Materialedata[[#This Row],[A1-A3/m²]:[C4/m²]]),0))
))</f>
        <v>-7.2467999999999995</v>
      </c>
      <c r="AZ30" s="141">
        <f>IF(AZ$2&gt;Input_Tidshorisont,BlankTegn,IF(AZ$2=0,SUM(Materialedata[[#This Row],[A1-A3/m²]:[A4/m²]]),
AY30+IF(AZ$2=Input_Tidshorisont,SUM(Materialedata[[#This Row],[C3/m²]:[C4/m²]]),IF(MOD(AZ$2,Materialedata[[#This Row],[Levetid]])=0,SUM(Materialedata[[#This Row],[A1-A3/m²]:[C4/m²]]),0))
))</f>
        <v>-7.2467999999999995</v>
      </c>
      <c r="BA30" s="141">
        <f>IF(BA$2&gt;Input_Tidshorisont,BlankTegn,IF(BA$2=0,SUM(Materialedata[[#This Row],[A1-A3/m²]:[A4/m²]]),
AZ30+IF(BA$2=Input_Tidshorisont,SUM(Materialedata[[#This Row],[C3/m²]:[C4/m²]]),IF(MOD(BA$2,Materialedata[[#This Row],[Levetid]])=0,SUM(Materialedata[[#This Row],[A1-A3/m²]:[C4/m²]]),0))
))</f>
        <v>-7.2467999999999995</v>
      </c>
      <c r="BB30" s="141">
        <f>IF(BB$2&gt;Input_Tidshorisont,BlankTegn,IF(BB$2=0,SUM(Materialedata[[#This Row],[A1-A3/m²]:[A4/m²]]),
BA30+IF(BB$2=Input_Tidshorisont,SUM(Materialedata[[#This Row],[C3/m²]:[C4/m²]]),IF(MOD(BB$2,Materialedata[[#This Row],[Levetid]])=0,SUM(Materialedata[[#This Row],[A1-A3/m²]:[C4/m²]]),0))
))</f>
        <v>-7.2467999999999995</v>
      </c>
      <c r="BC30" s="141">
        <f>IF(BC$2&gt;Input_Tidshorisont,BlankTegn,IF(BC$2=0,SUM(Materialedata[[#This Row],[A1-A3/m²]:[A4/m²]]),
BB30+IF(BC$2=Input_Tidshorisont,SUM(Materialedata[[#This Row],[C3/m²]:[C4/m²]]),IF(MOD(BC$2,Materialedata[[#This Row],[Levetid]])=0,SUM(Materialedata[[#This Row],[A1-A3/m²]:[C4/m²]]),0))
))</f>
        <v>-7.2467999999999995</v>
      </c>
      <c r="BD30" s="141">
        <f>IF(BD$2&gt;Input_Tidshorisont,BlankTegn,IF(BD$2=0,SUM(Materialedata[[#This Row],[A1-A3/m²]:[A4/m²]]),
BC30+IF(BD$2=Input_Tidshorisont,SUM(Materialedata[[#This Row],[C3/m²]:[C4/m²]]),IF(MOD(BD$2,Materialedata[[#This Row],[Levetid]])=0,SUM(Materialedata[[#This Row],[A1-A3/m²]:[C4/m²]]),0))
))</f>
        <v>-7.2467999999999995</v>
      </c>
      <c r="BE30" s="141">
        <f>IF(BE$2&gt;Input_Tidshorisont,BlankTegn,IF(BE$2=0,SUM(Materialedata[[#This Row],[A1-A3/m²]:[A4/m²]]),
BD30+IF(BE$2=Input_Tidshorisont,SUM(Materialedata[[#This Row],[C3/m²]:[C4/m²]]),IF(MOD(BE$2,Materialedata[[#This Row],[Levetid]])=0,SUM(Materialedata[[#This Row],[A1-A3/m²]:[C4/m²]]),0))
))</f>
        <v>-7.2467999999999995</v>
      </c>
      <c r="BF30" s="141">
        <f>IF(BF$2&gt;Input_Tidshorisont,BlankTegn,IF(BF$2=0,SUM(Materialedata[[#This Row],[A1-A3/m²]:[A4/m²]]),
BE30+IF(BF$2=Input_Tidshorisont,SUM(Materialedata[[#This Row],[C3/m²]:[C4/m²]]),IF(MOD(BF$2,Materialedata[[#This Row],[Levetid]])=0,SUM(Materialedata[[#This Row],[A1-A3/m²]:[C4/m²]]),0))
))</f>
        <v>-7.2467999999999995</v>
      </c>
      <c r="BG30" s="141">
        <f>IF(BG$2&gt;Input_Tidshorisont,BlankTegn,IF(BG$2=0,SUM(Materialedata[[#This Row],[A1-A3/m²]:[A4/m²]]),
BF30+IF(BG$2=Input_Tidshorisont,SUM(Materialedata[[#This Row],[C3/m²]:[C4/m²]]),IF(MOD(BG$2,Materialedata[[#This Row],[Levetid]])=0,SUM(Materialedata[[#This Row],[A1-A3/m²]:[C4/m²]]),0))
))</f>
        <v>-7.2467999999999995</v>
      </c>
      <c r="BH30" s="141">
        <f>IF(BH$2&gt;Input_Tidshorisont,BlankTegn,IF(BH$2=0,SUM(Materialedata[[#This Row],[A1-A3/m²]:[A4/m²]]),
BG30+IF(BH$2=Input_Tidshorisont,SUM(Materialedata[[#This Row],[C3/m²]:[C4/m²]]),IF(MOD(BH$2,Materialedata[[#This Row],[Levetid]])=0,SUM(Materialedata[[#This Row],[A1-A3/m²]:[C4/m²]]),0))
))</f>
        <v>-7.2467999999999995</v>
      </c>
      <c r="BI30" s="141">
        <f>IF(BI$2&gt;Input_Tidshorisont,BlankTegn,IF(BI$2=0,SUM(Materialedata[[#This Row],[A1-A3/m²]:[A4/m²]]),
BH30+IF(BI$2=Input_Tidshorisont,SUM(Materialedata[[#This Row],[C3/m²]:[C4/m²]]),IF(MOD(BI$2,Materialedata[[#This Row],[Levetid]])=0,SUM(Materialedata[[#This Row],[A1-A3/m²]:[C4/m²]]),0))
))</f>
        <v>-7.2467999999999995</v>
      </c>
      <c r="BJ30" s="141">
        <f>IF(BJ$2&gt;Input_Tidshorisont,BlankTegn,IF(BJ$2=0,SUM(Materialedata[[#This Row],[A1-A3/m²]:[A4/m²]]),
BI30+IF(BJ$2=Input_Tidshorisont,SUM(Materialedata[[#This Row],[C3/m²]:[C4/m²]]),IF(MOD(BJ$2,Materialedata[[#This Row],[Levetid]])=0,SUM(Materialedata[[#This Row],[A1-A3/m²]:[C4/m²]]),0))
))</f>
        <v>-7.2467999999999995</v>
      </c>
      <c r="BK30" s="141">
        <f>IF(BK$2&gt;Input_Tidshorisont,BlankTegn,IF(BK$2=0,SUM(Materialedata[[#This Row],[A1-A3/m²]:[A4/m²]]),
BJ30+IF(BK$2=Input_Tidshorisont,SUM(Materialedata[[#This Row],[C3/m²]:[C4/m²]]),IF(MOD(BK$2,Materialedata[[#This Row],[Levetid]])=0,SUM(Materialedata[[#This Row],[A1-A3/m²]:[C4/m²]]),0))
))</f>
        <v>-7.2467999999999995</v>
      </c>
      <c r="BL30" s="141">
        <f>IF(BL$2&gt;Input_Tidshorisont,BlankTegn,IF(BL$2=0,SUM(Materialedata[[#This Row],[A1-A3/m²]:[A4/m²]]),
BK30+IF(BL$2=Input_Tidshorisont,SUM(Materialedata[[#This Row],[C3/m²]:[C4/m²]]),IF(MOD(BL$2,Materialedata[[#This Row],[Levetid]])=0,SUM(Materialedata[[#This Row],[A1-A3/m²]:[C4/m²]]),0))
))</f>
        <v>-7.2467999999999995</v>
      </c>
      <c r="BM30" s="141">
        <f>IF(BM$2&gt;Input_Tidshorisont,BlankTegn,IF(BM$2=0,SUM(Materialedata[[#This Row],[A1-A3/m²]:[A4/m²]]),
BL30+IF(BM$2=Input_Tidshorisont,SUM(Materialedata[[#This Row],[C3/m²]:[C4/m²]]),IF(MOD(BM$2,Materialedata[[#This Row],[Levetid]])=0,SUM(Materialedata[[#This Row],[A1-A3/m²]:[C4/m²]]),0))
))</f>
        <v>-7.2467999999999995</v>
      </c>
      <c r="BN30" s="141">
        <f>IF(BN$2&gt;Input_Tidshorisont,BlankTegn,IF(BN$2=0,SUM(Materialedata[[#This Row],[A1-A3/m²]:[A4/m²]]),
BM30+IF(BN$2=Input_Tidshorisont,SUM(Materialedata[[#This Row],[C3/m²]:[C4/m²]]),IF(MOD(BN$2,Materialedata[[#This Row],[Levetid]])=0,SUM(Materialedata[[#This Row],[A1-A3/m²]:[C4/m²]]),0))
))</f>
        <v>-7.2467999999999995</v>
      </c>
      <c r="BO30" s="141">
        <f>IF(BO$2&gt;Input_Tidshorisont,BlankTegn,IF(BO$2=0,SUM(Materialedata[[#This Row],[A1-A3/m²]:[A4/m²]]),
BN30+IF(BO$2=Input_Tidshorisont,SUM(Materialedata[[#This Row],[C3/m²]:[C4/m²]]),IF(MOD(BO$2,Materialedata[[#This Row],[Levetid]])=0,SUM(Materialedata[[#This Row],[A1-A3/m²]:[C4/m²]]),0))
))</f>
        <v>-7.2467999999999995</v>
      </c>
      <c r="BP30" s="141">
        <f>IF(BP$2&gt;Input_Tidshorisont,BlankTegn,IF(BP$2=0,SUM(Materialedata[[#This Row],[A1-A3/m²]:[A4/m²]]),
BO30+IF(BP$2=Input_Tidshorisont,SUM(Materialedata[[#This Row],[C3/m²]:[C4/m²]]),IF(MOD(BP$2,Materialedata[[#This Row],[Levetid]])=0,SUM(Materialedata[[#This Row],[A1-A3/m²]:[C4/m²]]),0))
))</f>
        <v>-7.2467999999999995</v>
      </c>
      <c r="BQ30" s="141">
        <f>IF(BQ$2&gt;Input_Tidshorisont,BlankTegn,IF(BQ$2=0,SUM(Materialedata[[#This Row],[A1-A3/m²]:[A4/m²]]),
BP30+IF(BQ$2=Input_Tidshorisont,SUM(Materialedata[[#This Row],[C3/m²]:[C4/m²]]),IF(MOD(BQ$2,Materialedata[[#This Row],[Levetid]])=0,SUM(Materialedata[[#This Row],[A1-A3/m²]:[C4/m²]]),0))
))</f>
        <v>-7.2467999999999995</v>
      </c>
      <c r="BR30" s="141">
        <f>IF(BR$2&gt;Input_Tidshorisont,BlankTegn,IF(BR$2=0,SUM(Materialedata[[#This Row],[A1-A3/m²]:[A4/m²]]),
BQ30+IF(BR$2=Input_Tidshorisont,SUM(Materialedata[[#This Row],[C3/m²]:[C4/m²]]),IF(MOD(BR$2,Materialedata[[#This Row],[Levetid]])=0,SUM(Materialedata[[#This Row],[A1-A3/m²]:[C4/m²]]),0))
))</f>
        <v>-7.2467999999999995</v>
      </c>
      <c r="BS30" s="141">
        <f>IF(BS$2&gt;Input_Tidshorisont,BlankTegn,IF(BS$2=0,SUM(Materialedata[[#This Row],[A1-A3/m²]:[A4/m²]]),
BR30+IF(BS$2=Input_Tidshorisont,SUM(Materialedata[[#This Row],[C3/m²]:[C4/m²]]),IF(MOD(BS$2,Materialedata[[#This Row],[Levetid]])=0,SUM(Materialedata[[#This Row],[A1-A3/m²]:[C4/m²]]),0))
))</f>
        <v>-7.2467999999999995</v>
      </c>
      <c r="BT30" s="141">
        <f>IF(BT$2&gt;Input_Tidshorisont,BlankTegn,IF(BT$2=0,SUM(Materialedata[[#This Row],[A1-A3/m²]:[A4/m²]]),
BS30+IF(BT$2=Input_Tidshorisont,SUM(Materialedata[[#This Row],[C3/m²]:[C4/m²]]),IF(MOD(BT$2,Materialedata[[#This Row],[Levetid]])=0,SUM(Materialedata[[#This Row],[A1-A3/m²]:[C4/m²]]),0))
))</f>
        <v>-7.2467999999999995</v>
      </c>
      <c r="BU30" s="141">
        <f>IF(BU$2&gt;Input_Tidshorisont,BlankTegn,IF(BU$2=0,SUM(Materialedata[[#This Row],[A1-A3/m²]:[A4/m²]]),
BT30+IF(BU$2=Input_Tidshorisont,SUM(Materialedata[[#This Row],[C3/m²]:[C4/m²]]),IF(MOD(BU$2,Materialedata[[#This Row],[Levetid]])=0,SUM(Materialedata[[#This Row],[A1-A3/m²]:[C4/m²]]),0))
))</f>
        <v>-7.2467999999999995</v>
      </c>
      <c r="BV30" s="141">
        <f>IF(BV$2&gt;Input_Tidshorisont,BlankTegn,IF(BV$2=0,SUM(Materialedata[[#This Row],[A1-A3/m²]:[A4/m²]]),
BU30+IF(BV$2=Input_Tidshorisont,SUM(Materialedata[[#This Row],[C3/m²]:[C4/m²]]),IF(MOD(BV$2,Materialedata[[#This Row],[Levetid]])=0,SUM(Materialedata[[#This Row],[A1-A3/m²]:[C4/m²]]),0))
))</f>
        <v>-7.2467999999999995</v>
      </c>
      <c r="BW30" s="141">
        <f>IF(BW$2&gt;Input_Tidshorisont,BlankTegn,IF(BW$2=0,SUM(Materialedata[[#This Row],[A1-A3/m²]:[A4/m²]]),
BV30+IF(BW$2=Input_Tidshorisont,SUM(Materialedata[[#This Row],[C3/m²]:[C4/m²]]),IF(MOD(BW$2,Materialedata[[#This Row],[Levetid]])=0,SUM(Materialedata[[#This Row],[A1-A3/m²]:[C4/m²]]),0))
))</f>
        <v>-7.2467999999999995</v>
      </c>
      <c r="BX30" s="141">
        <f>IF(BX$2&gt;Input_Tidshorisont,BlankTegn,IF(BX$2=0,SUM(Materialedata[[#This Row],[A1-A3/m²]:[A4/m²]]),
BW30+IF(BX$2=Input_Tidshorisont,SUM(Materialedata[[#This Row],[C3/m²]:[C4/m²]]),IF(MOD(BX$2,Materialedata[[#This Row],[Levetid]])=0,SUM(Materialedata[[#This Row],[A1-A3/m²]:[C4/m²]]),0))
))</f>
        <v>-7.2467999999999995</v>
      </c>
      <c r="BY30" s="141">
        <f>IF(BY$2&gt;Input_Tidshorisont,BlankTegn,IF(BY$2=0,SUM(Materialedata[[#This Row],[A1-A3/m²]:[A4/m²]]),
BX30+IF(BY$2=Input_Tidshorisont,SUM(Materialedata[[#This Row],[C3/m²]:[C4/m²]]),IF(MOD(BY$2,Materialedata[[#This Row],[Levetid]])=0,SUM(Materialedata[[#This Row],[A1-A3/m²]:[C4/m²]]),0))
))</f>
        <v>-7.2467999999999995</v>
      </c>
      <c r="BZ30" s="141">
        <f>IF(BZ$2&gt;Input_Tidshorisont,BlankTegn,IF(BZ$2=0,SUM(Materialedata[[#This Row],[A1-A3/m²]:[A4/m²]]),
BY30+IF(BZ$2=Input_Tidshorisont,SUM(Materialedata[[#This Row],[C3/m²]:[C4/m²]]),IF(MOD(BZ$2,Materialedata[[#This Row],[Levetid]])=0,SUM(Materialedata[[#This Row],[A1-A3/m²]:[C4/m²]]),0))
))</f>
        <v>-7.2467999999999995</v>
      </c>
      <c r="CA30" s="141">
        <f>IF(CA$2&gt;Input_Tidshorisont,BlankTegn,IF(CA$2=0,SUM(Materialedata[[#This Row],[A1-A3/m²]:[A4/m²]]),
BZ30+IF(CA$2=Input_Tidshorisont,SUM(Materialedata[[#This Row],[C3/m²]:[C4/m²]]),IF(MOD(CA$2,Materialedata[[#This Row],[Levetid]])=0,SUM(Materialedata[[#This Row],[A1-A3/m²]:[C4/m²]]),0))
))</f>
        <v>-7.2467999999999995</v>
      </c>
      <c r="CB30" s="141">
        <f>IF(CB$2&gt;Input_Tidshorisont,BlankTegn,IF(CB$2=0,SUM(Materialedata[[#This Row],[A1-A3/m²]:[A4/m²]]),
CA30+IF(CB$2=Input_Tidshorisont,SUM(Materialedata[[#This Row],[C3/m²]:[C4/m²]]),IF(MOD(CB$2,Materialedata[[#This Row],[Levetid]])=0,SUM(Materialedata[[#This Row],[A1-A3/m²]:[C4/m²]]),0))
))</f>
        <v>-7.2467999999999995</v>
      </c>
      <c r="CC30" s="141">
        <f>IF(CC$2&gt;Input_Tidshorisont,BlankTegn,IF(CC$2=0,SUM(Materialedata[[#This Row],[A1-A3/m²]:[A4/m²]]),
CB30+IF(CC$2=Input_Tidshorisont,SUM(Materialedata[[#This Row],[C3/m²]:[C4/m²]]),IF(MOD(CC$2,Materialedata[[#This Row],[Levetid]])=0,SUM(Materialedata[[#This Row],[A1-A3/m²]:[C4/m²]]),0))
))</f>
        <v>-7.2467999999999995</v>
      </c>
      <c r="CD30" s="141">
        <f>IF(CD$2&gt;Input_Tidshorisont,BlankTegn,IF(CD$2=0,SUM(Materialedata[[#This Row],[A1-A3/m²]:[A4/m²]]),
CC30+IF(CD$2=Input_Tidshorisont,SUM(Materialedata[[#This Row],[C3/m²]:[C4/m²]]),IF(MOD(CD$2,Materialedata[[#This Row],[Levetid]])=0,SUM(Materialedata[[#This Row],[A1-A3/m²]:[C4/m²]]),0))
))</f>
        <v>-7.2467999999999995</v>
      </c>
      <c r="CE30" s="141">
        <f>IF(CE$2&gt;Input_Tidshorisont,BlankTegn,IF(CE$2=0,SUM(Materialedata[[#This Row],[A1-A3/m²]:[A4/m²]]),
CD30+IF(CE$2=Input_Tidshorisont,SUM(Materialedata[[#This Row],[C3/m²]:[C4/m²]]),IF(MOD(CE$2,Materialedata[[#This Row],[Levetid]])=0,SUM(Materialedata[[#This Row],[A1-A3/m²]:[C4/m²]]),0))
))</f>
        <v>-7.2467999999999995</v>
      </c>
      <c r="CF30" s="141">
        <f>IF(CF$2&gt;Input_Tidshorisont,BlankTegn,IF(CF$2=0,SUM(Materialedata[[#This Row],[A1-A3/m²]:[A4/m²]]),
CE30+IF(CF$2=Input_Tidshorisont,SUM(Materialedata[[#This Row],[C3/m²]:[C4/m²]]),IF(MOD(CF$2,Materialedata[[#This Row],[Levetid]])=0,SUM(Materialedata[[#This Row],[A1-A3/m²]:[C4/m²]]),0))
))</f>
        <v>-7.2467999999999995</v>
      </c>
      <c r="CG30" s="141">
        <f>IF(CG$2&gt;Input_Tidshorisont,BlankTegn,IF(CG$2=0,SUM(Materialedata[[#This Row],[A1-A3/m²]:[A4/m²]]),
CF30+IF(CG$2=Input_Tidshorisont,SUM(Materialedata[[#This Row],[C3/m²]:[C4/m²]]),IF(MOD(CG$2,Materialedata[[#This Row],[Levetid]])=0,SUM(Materialedata[[#This Row],[A1-A3/m²]:[C4/m²]]),0))
))</f>
        <v>-7.2467999999999995</v>
      </c>
      <c r="CH30" s="141">
        <f>IF(CH$2&gt;Input_Tidshorisont,BlankTegn,IF(CH$2=0,SUM(Materialedata[[#This Row],[A1-A3/m²]:[A4/m²]]),
CG30+IF(CH$2=Input_Tidshorisont,SUM(Materialedata[[#This Row],[C3/m²]:[C4/m²]]),IF(MOD(CH$2,Materialedata[[#This Row],[Levetid]])=0,SUM(Materialedata[[#This Row],[A1-A3/m²]:[C4/m²]]),0))
))</f>
        <v>4.5012000000000016</v>
      </c>
      <c r="CI30" s="141" t="str">
        <f>IF(CI$2&gt;Input_Tidshorisont,BlankTegn,IF(CI$2=0,SUM(Materialedata[[#This Row],[A1-A3/m²]:[A4/m²]]),
CH30+IF(CI$2=Input_Tidshorisont,SUM(Materialedata[[#This Row],[C3/m²]:[C4/m²]]),IF(MOD(CI$2,Materialedata[[#This Row],[Levetid]])=0,SUM(Materialedata[[#This Row],[A1-A3/m²]:[C4/m²]]),0))
))</f>
        <v>.</v>
      </c>
      <c r="CJ30" s="141" t="str">
        <f>IF(CJ$2&gt;Input_Tidshorisont,BlankTegn,IF(CJ$2=0,SUM(Materialedata[[#This Row],[A1-A3/m²]:[A4/m²]]),
CI30+IF(CJ$2=Input_Tidshorisont,SUM(Materialedata[[#This Row],[C3/m²]:[C4/m²]]),IF(MOD(CJ$2,Materialedata[[#This Row],[Levetid]])=0,SUM(Materialedata[[#This Row],[A1-A3/m²]:[C4/m²]]),0))
))</f>
        <v>.</v>
      </c>
      <c r="CK30" s="141" t="str">
        <f>IF(CK$2&gt;Input_Tidshorisont,BlankTegn,IF(CK$2=0,SUM(Materialedata[[#This Row],[A1-A3/m²]:[A4/m²]]),
CJ30+IF(CK$2=Input_Tidshorisont,SUM(Materialedata[[#This Row],[C3/m²]:[C4/m²]]),IF(MOD(CK$2,Materialedata[[#This Row],[Levetid]])=0,SUM(Materialedata[[#This Row],[A1-A3/m²]:[C4/m²]]),0))
))</f>
        <v>.</v>
      </c>
      <c r="CL30" s="141" t="str">
        <f>IF(CL$2&gt;Input_Tidshorisont,BlankTegn,IF(CL$2=0,SUM(Materialedata[[#This Row],[A1-A3/m²]:[A4/m²]]),
CK30+IF(CL$2=Input_Tidshorisont,SUM(Materialedata[[#This Row],[C3/m²]:[C4/m²]]),IF(MOD(CL$2,Materialedata[[#This Row],[Levetid]])=0,SUM(Materialedata[[#This Row],[A1-A3/m²]:[C4/m²]]),0))
))</f>
        <v>.</v>
      </c>
      <c r="CM30" s="141" t="str">
        <f>IF(CM$2&gt;Input_Tidshorisont,BlankTegn,IF(CM$2=0,SUM(Materialedata[[#This Row],[A1-A3/m²]:[A4/m²]]),
CL30+IF(CM$2=Input_Tidshorisont,SUM(Materialedata[[#This Row],[C3/m²]:[C4/m²]]),IF(MOD(CM$2,Materialedata[[#This Row],[Levetid]])=0,SUM(Materialedata[[#This Row],[A1-A3/m²]:[C4/m²]]),0))
))</f>
        <v>.</v>
      </c>
      <c r="CN30" s="141" t="str">
        <f>IF(CN$2&gt;Input_Tidshorisont,BlankTegn,IF(CN$2=0,SUM(Materialedata[[#This Row],[A1-A3/m²]:[A4/m²]]),
CM30+IF(CN$2=Input_Tidshorisont,SUM(Materialedata[[#This Row],[C3/m²]:[C4/m²]]),IF(MOD(CN$2,Materialedata[[#This Row],[Levetid]])=0,SUM(Materialedata[[#This Row],[A1-A3/m²]:[C4/m²]]),0))
))</f>
        <v>.</v>
      </c>
      <c r="CO30" s="141" t="str">
        <f>IF(CO$2&gt;Input_Tidshorisont,BlankTegn,IF(CO$2=0,SUM(Materialedata[[#This Row],[A1-A3/m²]:[A4/m²]]),
CN30+IF(CO$2=Input_Tidshorisont,SUM(Materialedata[[#This Row],[C3/m²]:[C4/m²]]),IF(MOD(CO$2,Materialedata[[#This Row],[Levetid]])=0,SUM(Materialedata[[#This Row],[A1-A3/m²]:[C4/m²]]),0))
))</f>
        <v>.</v>
      </c>
      <c r="CP30" s="141" t="str">
        <f>IF(CP$2&gt;Input_Tidshorisont,BlankTegn,IF(CP$2=0,SUM(Materialedata[[#This Row],[A1-A3/m²]:[A4/m²]]),
CO30+IF(CP$2=Input_Tidshorisont,SUM(Materialedata[[#This Row],[C3/m²]:[C4/m²]]),IF(MOD(CP$2,Materialedata[[#This Row],[Levetid]])=0,SUM(Materialedata[[#This Row],[A1-A3/m²]:[C4/m²]]),0))
))</f>
        <v>.</v>
      </c>
      <c r="CQ30" s="141" t="str">
        <f>IF(CQ$2&gt;Input_Tidshorisont,BlankTegn,IF(CQ$2=0,SUM(Materialedata[[#This Row],[A1-A3/m²]:[A4/m²]]),
CP30+IF(CQ$2=Input_Tidshorisont,SUM(Materialedata[[#This Row],[C3/m²]:[C4/m²]]),IF(MOD(CQ$2,Materialedata[[#This Row],[Levetid]])=0,SUM(Materialedata[[#This Row],[A1-A3/m²]:[C4/m²]]),0))
))</f>
        <v>.</v>
      </c>
      <c r="CR30" s="141" t="str">
        <f>IF(CR$2&gt;Input_Tidshorisont,BlankTegn,IF(CR$2=0,SUM(Materialedata[[#This Row],[A1-A3/m²]:[A4/m²]]),
CQ30+IF(CR$2=Input_Tidshorisont,SUM(Materialedata[[#This Row],[C3/m²]:[C4/m²]]),IF(MOD(CR$2,Materialedata[[#This Row],[Levetid]])=0,SUM(Materialedata[[#This Row],[A1-A3/m²]:[C4/m²]]),0))
))</f>
        <v>.</v>
      </c>
      <c r="CS30" s="141" t="str">
        <f>IF(CS$2&gt;Input_Tidshorisont,BlankTegn,IF(CS$2=0,SUM(Materialedata[[#This Row],[A1-A3/m²]:[A4/m²]]),
CR30+IF(CS$2=Input_Tidshorisont,SUM(Materialedata[[#This Row],[C3/m²]:[C4/m²]]),IF(MOD(CS$2,Materialedata[[#This Row],[Levetid]])=0,SUM(Materialedata[[#This Row],[A1-A3/m²]:[C4/m²]]),0))
))</f>
        <v>.</v>
      </c>
      <c r="CT30" s="141" t="str">
        <f>IF(CT$2&gt;Input_Tidshorisont,BlankTegn,IF(CT$2=0,SUM(Materialedata[[#This Row],[A1-A3/m²]:[A4/m²]]),
CS30+IF(CT$2=Input_Tidshorisont,SUM(Materialedata[[#This Row],[C3/m²]:[C4/m²]]),IF(MOD(CT$2,Materialedata[[#This Row],[Levetid]])=0,SUM(Materialedata[[#This Row],[A1-A3/m²]:[C4/m²]]),0))
))</f>
        <v>.</v>
      </c>
      <c r="CU30" s="141" t="str">
        <f>IF(CU$2&gt;Input_Tidshorisont,BlankTegn,IF(CU$2=0,SUM(Materialedata[[#This Row],[A1-A3/m²]:[A4/m²]]),
CT30+IF(CU$2=Input_Tidshorisont,SUM(Materialedata[[#This Row],[C3/m²]:[C4/m²]]),IF(MOD(CU$2,Materialedata[[#This Row],[Levetid]])=0,SUM(Materialedata[[#This Row],[A1-A3/m²]:[C4/m²]]),0))
))</f>
        <v>.</v>
      </c>
      <c r="CV30" s="141" t="str">
        <f>IF(CV$2&gt;Input_Tidshorisont,BlankTegn,IF(CV$2=0,SUM(Materialedata[[#This Row],[A1-A3/m²]:[A4/m²]]),
CU30+IF(CV$2=Input_Tidshorisont,SUM(Materialedata[[#This Row],[C3/m²]:[C4/m²]]),IF(MOD(CV$2,Materialedata[[#This Row],[Levetid]])=0,SUM(Materialedata[[#This Row],[A1-A3/m²]:[C4/m²]]),0))
))</f>
        <v>.</v>
      </c>
      <c r="CW30" s="141" t="str">
        <f>IF(CW$2&gt;Input_Tidshorisont,BlankTegn,IF(CW$2=0,SUM(Materialedata[[#This Row],[A1-A3/m²]:[A4/m²]]),
CV30+IF(CW$2=Input_Tidshorisont,SUM(Materialedata[[#This Row],[C3/m²]:[C4/m²]]),IF(MOD(CW$2,Materialedata[[#This Row],[Levetid]])=0,SUM(Materialedata[[#This Row],[A1-A3/m²]:[C4/m²]]),0))
))</f>
        <v>.</v>
      </c>
      <c r="CX30" s="141" t="str">
        <f>IF(CX$2&gt;Input_Tidshorisont,BlankTegn,IF(CX$2=0,SUM(Materialedata[[#This Row],[A1-A3/m²]:[A4/m²]]),
CW30+IF(CX$2=Input_Tidshorisont,SUM(Materialedata[[#This Row],[C3/m²]:[C4/m²]]),IF(MOD(CX$2,Materialedata[[#This Row],[Levetid]])=0,SUM(Materialedata[[#This Row],[A1-A3/m²]:[C4/m²]]),0))
))</f>
        <v>.</v>
      </c>
      <c r="CY30" s="141" t="str">
        <f>IF(CY$2&gt;Input_Tidshorisont,BlankTegn,IF(CY$2=0,SUM(Materialedata[[#This Row],[A1-A3/m²]:[A4/m²]]),
CX30+IF(CY$2=Input_Tidshorisont,SUM(Materialedata[[#This Row],[C3/m²]:[C4/m²]]),IF(MOD(CY$2,Materialedata[[#This Row],[Levetid]])=0,SUM(Materialedata[[#This Row],[A1-A3/m²]:[C4/m²]]),0))
))</f>
        <v>.</v>
      </c>
      <c r="CZ30" s="141" t="str">
        <f>IF(CZ$2&gt;Input_Tidshorisont,BlankTegn,IF(CZ$2=0,SUM(Materialedata[[#This Row],[A1-A3/m²]:[A4/m²]]),
CY30+IF(CZ$2=Input_Tidshorisont,SUM(Materialedata[[#This Row],[C3/m²]:[C4/m²]]),IF(MOD(CZ$2,Materialedata[[#This Row],[Levetid]])=0,SUM(Materialedata[[#This Row],[A1-A3/m²]:[C4/m²]]),0))
))</f>
        <v>.</v>
      </c>
      <c r="DA30" s="141" t="str">
        <f>IF(DA$2&gt;Input_Tidshorisont,BlankTegn,IF(DA$2=0,SUM(Materialedata[[#This Row],[A1-A3/m²]:[A4/m²]]),
CZ30+IF(DA$2=Input_Tidshorisont,SUM(Materialedata[[#This Row],[C3/m²]:[C4/m²]]),IF(MOD(DA$2,Materialedata[[#This Row],[Levetid]])=0,SUM(Materialedata[[#This Row],[A1-A3/m²]:[C4/m²]]),0))
))</f>
        <v>.</v>
      </c>
      <c r="DB30" s="141" t="str">
        <f>IF(DB$2&gt;Input_Tidshorisont,BlankTegn,IF(DB$2=0,SUM(Materialedata[[#This Row],[A1-A3/m²]:[A4/m²]]),
DA30+IF(DB$2=Input_Tidshorisont,SUM(Materialedata[[#This Row],[C3/m²]:[C4/m²]]),IF(MOD(DB$2,Materialedata[[#This Row],[Levetid]])=0,SUM(Materialedata[[#This Row],[A1-A3/m²]:[C4/m²]]),0))
))</f>
        <v>.</v>
      </c>
      <c r="DC30" s="141" t="str">
        <f>IF(DC$2&gt;Input_Tidshorisont,BlankTegn,IF(DC$2=0,SUM(Materialedata[[#This Row],[A1-A3/m²]:[A4/m²]]),
DB30+IF(DC$2=Input_Tidshorisont,SUM(Materialedata[[#This Row],[C3/m²]:[C4/m²]]),IF(MOD(DC$2,Materialedata[[#This Row],[Levetid]])=0,SUM(Materialedata[[#This Row],[A1-A3/m²]:[C4/m²]]),0))
))</f>
        <v>.</v>
      </c>
      <c r="DD30" s="141" t="str">
        <f>IF(DD$2&gt;Input_Tidshorisont,BlankTegn,IF(DD$2=0,SUM(Materialedata[[#This Row],[A1-A3/m²]:[A4/m²]]),
DC30+IF(DD$2=Input_Tidshorisont,SUM(Materialedata[[#This Row],[C3/m²]:[C4/m²]]),IF(MOD(DD$2,Materialedata[[#This Row],[Levetid]])=0,SUM(Materialedata[[#This Row],[A1-A3/m²]:[C4/m²]]),0))
))</f>
        <v>.</v>
      </c>
      <c r="DE30" s="141" t="str">
        <f>IF(DE$2&gt;Input_Tidshorisont,BlankTegn,IF(DE$2=0,SUM(Materialedata[[#This Row],[A1-A3/m²]:[A4/m²]]),
DD30+IF(DE$2=Input_Tidshorisont,SUM(Materialedata[[#This Row],[C3/m²]:[C4/m²]]),IF(MOD(DE$2,Materialedata[[#This Row],[Levetid]])=0,SUM(Materialedata[[#This Row],[A1-A3/m²]:[C4/m²]]),0))
))</f>
        <v>.</v>
      </c>
      <c r="DF30" s="141" t="str">
        <f>IF(DF$2&gt;Input_Tidshorisont,BlankTegn,IF(DF$2=0,SUM(Materialedata[[#This Row],[A1-A3/m²]:[A4/m²]]),
DE30+IF(DF$2=Input_Tidshorisont,SUM(Materialedata[[#This Row],[C3/m²]:[C4/m²]]),IF(MOD(DF$2,Materialedata[[#This Row],[Levetid]])=0,SUM(Materialedata[[#This Row],[A1-A3/m²]:[C4/m²]]),0))
))</f>
        <v>.</v>
      </c>
      <c r="DG30" s="141" t="str">
        <f>IF(DG$2&gt;Input_Tidshorisont,BlankTegn,IF(DG$2=0,SUM(Materialedata[[#This Row],[A1-A3/m²]:[A4/m²]]),
DF30+IF(DG$2=Input_Tidshorisont,SUM(Materialedata[[#This Row],[C3/m²]:[C4/m²]]),IF(MOD(DG$2,Materialedata[[#This Row],[Levetid]])=0,SUM(Materialedata[[#This Row],[A1-A3/m²]:[C4/m²]]),0))
))</f>
        <v>.</v>
      </c>
      <c r="DH30" s="141" t="str">
        <f>IF(DH$2&gt;Input_Tidshorisont,BlankTegn,IF(DH$2=0,SUM(Materialedata[[#This Row],[A1-A3/m²]:[A4/m²]]),
DG30+IF(DH$2=Input_Tidshorisont,SUM(Materialedata[[#This Row],[C3/m²]:[C4/m²]]),IF(MOD(DH$2,Materialedata[[#This Row],[Levetid]])=0,SUM(Materialedata[[#This Row],[A1-A3/m²]:[C4/m²]]),0))
))</f>
        <v>.</v>
      </c>
      <c r="DI30" s="141" t="str">
        <f>IF(DI$2&gt;Input_Tidshorisont,BlankTegn,IF(DI$2=0,SUM(Materialedata[[#This Row],[A1-A3/m²]:[A4/m²]]),
DH30+IF(DI$2=Input_Tidshorisont,SUM(Materialedata[[#This Row],[C3/m²]:[C4/m²]]),IF(MOD(DI$2,Materialedata[[#This Row],[Levetid]])=0,SUM(Materialedata[[#This Row],[A1-A3/m²]:[C4/m²]]),0))
))</f>
        <v>.</v>
      </c>
      <c r="DJ30" s="141" t="str">
        <f>IF(DJ$2&gt;Input_Tidshorisont,BlankTegn,IF(DJ$2=0,SUM(Materialedata[[#This Row],[A1-A3/m²]:[A4/m²]]),
DI30+IF(DJ$2=Input_Tidshorisont,SUM(Materialedata[[#This Row],[C3/m²]:[C4/m²]]),IF(MOD(DJ$2,Materialedata[[#This Row],[Levetid]])=0,SUM(Materialedata[[#This Row],[A1-A3/m²]:[C4/m²]]),0))
))</f>
        <v>.</v>
      </c>
      <c r="DK30" s="141" t="str">
        <f>IF(DK$2&gt;Input_Tidshorisont,BlankTegn,IF(DK$2=0,SUM(Materialedata[[#This Row],[A1-A3/m²]:[A4/m²]]),
DJ30+IF(DK$2=Input_Tidshorisont,SUM(Materialedata[[#This Row],[C3/m²]:[C4/m²]]),IF(MOD(DK$2,Materialedata[[#This Row],[Levetid]])=0,SUM(Materialedata[[#This Row],[A1-A3/m²]:[C4/m²]]),0))
))</f>
        <v>.</v>
      </c>
      <c r="DL30" s="141" t="str">
        <f>IF(DL$2&gt;Input_Tidshorisont,BlankTegn,IF(DL$2=0,SUM(Materialedata[[#This Row],[A1-A3/m²]:[A4/m²]]),
DK30+IF(DL$2=Input_Tidshorisont,SUM(Materialedata[[#This Row],[C3/m²]:[C4/m²]]),IF(MOD(DL$2,Materialedata[[#This Row],[Levetid]])=0,SUM(Materialedata[[#This Row],[A1-A3/m²]:[C4/m²]]),0))
))</f>
        <v>.</v>
      </c>
      <c r="DM30" s="19"/>
    </row>
    <row r="31" spans="1:117">
      <c r="A31" s="182" t="s">
        <v>248</v>
      </c>
      <c r="B31" s="182" t="s">
        <v>171</v>
      </c>
      <c r="C31" s="148" t="s">
        <v>131</v>
      </c>
      <c r="D31" s="184"/>
      <c r="E31" s="180" t="s">
        <v>169</v>
      </c>
      <c r="F31" s="182" t="s">
        <v>134</v>
      </c>
      <c r="G31" s="182">
        <v>60</v>
      </c>
      <c r="H31" s="183">
        <v>44</v>
      </c>
      <c r="I31" s="184">
        <f>0.1*1*1</f>
        <v>0.1</v>
      </c>
      <c r="J31" s="184" t="s">
        <v>232</v>
      </c>
      <c r="K31" s="182">
        <v>-1.19</v>
      </c>
      <c r="L31" s="182" t="s">
        <v>220</v>
      </c>
      <c r="M31" s="185">
        <f>IF(ISBLANK(Materialedata[[#This Row],[A4-gruppe]]),BlankTegn,INDEX(Byggeproces[GWP],MATCH(Materialedata[[#This Row],[A4-gruppe]],Byggeproces[Gruppe/Undergruppe],0)))</f>
        <v>9.1999999999999998E-2</v>
      </c>
      <c r="N31" s="182">
        <v>1.78</v>
      </c>
      <c r="O31" s="182">
        <v>0</v>
      </c>
      <c r="P31" s="182">
        <v>-0.42799999999999999</v>
      </c>
      <c r="Q31" s="277">
        <f>Materialedata[[#This Row],[A1-A3/standardenhed]]*Materialedata[[#This Row],[Densitet]]*0.1</f>
        <v>-5.2360000000000007</v>
      </c>
      <c r="R31" s="278" cm="1">
        <f t="array" ref="R31">IFERROR(_xlfn.IFS(Materialedata[[#This Row],[Mængde-enhed]]="kg/m²",Materialedata[[#This Row],[A4/kg]]*Materialedata[[#This Row],[Mængde/m²]],Materialedata[[#This Row],[Mængde-enhed]]="m³/m²",Materialedata[[#This Row],[A4/kg]]*Materialedata[[#This Row],[Mængde/m²]]*Materialedata[[#This Row],[Densitet]]),"N/A")</f>
        <v>0.40479999999999999</v>
      </c>
      <c r="S31" s="277">
        <f>Materialedata[[#This Row],[C3/enhed]]*Materialedata[[#This Row],[Densitet]]*0.1</f>
        <v>7.8320000000000007</v>
      </c>
      <c r="T31" s="277">
        <f>Materialedata[[#This Row],[C4/enhed]]*Materialedata[[#This Row],[Densitet]]*0.2</f>
        <v>0</v>
      </c>
      <c r="U31" s="277">
        <f>Materialedata[[#This Row],[D/enhed]]*Materialedata[[#This Row],[Densitet]]*0.1</f>
        <v>-1.8832000000000002</v>
      </c>
      <c r="V31" s="150">
        <f>IFERROR(INDEX(Range_Materiale_Genbrug,MATCH(Materialedata[[#This Row],[Komponent]],Facadekomponenter,0)),BlankTegn)</f>
        <v>0</v>
      </c>
      <c r="W31" s="150">
        <f>IFERROR(1-Materialedata[[#This Row],[Genbrug]],BlankTegn)</f>
        <v>1</v>
      </c>
      <c r="X31" s="186">
        <f>IFERROR(Materialedata[[#This Row],[A1-A3/m²_nyt]]*Materialedata[[#This Row],[Nyt]],BlankTegn)</f>
        <v>-5.2360000000000007</v>
      </c>
      <c r="Y31" s="186">
        <f>Materialedata[[#This Row],[A4/m²_nyt]]</f>
        <v>0.40479999999999999</v>
      </c>
      <c r="Z31" s="186">
        <f>IFERROR(Materialedata[[#This Row],[C3/m²_nyt]]*Materialedata[[#This Row],[Nyt]],BlankTegn)</f>
        <v>7.8320000000000007</v>
      </c>
      <c r="AA31" s="186">
        <f>IFERROR(Materialedata[[#This Row],[C4/m²_nyt]]*Materialedata[[#This Row],[Nyt]],BlankTegn)</f>
        <v>0</v>
      </c>
      <c r="AB31" s="186">
        <f>IFERROR(Materialedata[[#This Row],[D/m²_nyt]]*Materialedata[[#This Row],[Nyt]],BlankTegn)</f>
        <v>-1.8832000000000002</v>
      </c>
      <c r="AC31" s="187">
        <v>165.79334721418269</v>
      </c>
      <c r="AD31" s="188" t="s">
        <v>29</v>
      </c>
      <c r="AE31" s="182">
        <v>1</v>
      </c>
      <c r="AF31" s="189">
        <f>Materialedata[[#This Row],[Pris/enhed]]*Materialedata[[#This Row],[Omregning]]</f>
        <v>165.79334721418269</v>
      </c>
      <c r="AG31" s="190">
        <v>0.02</v>
      </c>
      <c r="AH31" s="191">
        <v>1</v>
      </c>
      <c r="AI31" s="162">
        <v>0</v>
      </c>
      <c r="AJ31" s="141">
        <f>IF(AJ$2&gt;Input_Tidshorisont,BlankTegn,IF(AJ$2=0,SUM(Materialedata[[#This Row],[A1-A3/m²]:[A4/m²]]),
AI31+IF(AJ$2=Input_Tidshorisont,SUM(Materialedata[[#This Row],[C3/m²]:[C4/m²]]),IF(MOD(AJ$2,Materialedata[[#This Row],[Levetid]])=0,SUM(Materialedata[[#This Row],[A1-A3/m²]:[C4/m²]]),0))
))</f>
        <v>-4.8312000000000008</v>
      </c>
      <c r="AK31" s="141">
        <f>IF(AK$2&gt;Input_Tidshorisont,BlankTegn,IF(AK$2=0,SUM(Materialedata[[#This Row],[A1-A3/m²]:[A4/m²]]),
AJ31+IF(AK$2=Input_Tidshorisont,SUM(Materialedata[[#This Row],[C3/m²]:[C4/m²]]),IF(MOD(AK$2,Materialedata[[#This Row],[Levetid]])=0,SUM(Materialedata[[#This Row],[A1-A3/m²]:[C4/m²]]),0))
))</f>
        <v>-4.8312000000000008</v>
      </c>
      <c r="AL31" s="141">
        <f>IF(AL$2&gt;Input_Tidshorisont,BlankTegn,IF(AL$2=0,SUM(Materialedata[[#This Row],[A1-A3/m²]:[A4/m²]]),
AK31+IF(AL$2=Input_Tidshorisont,SUM(Materialedata[[#This Row],[C3/m²]:[C4/m²]]),IF(MOD(AL$2,Materialedata[[#This Row],[Levetid]])=0,SUM(Materialedata[[#This Row],[A1-A3/m²]:[C4/m²]]),0))
))</f>
        <v>-4.8312000000000008</v>
      </c>
      <c r="AM31" s="141">
        <f>IF(AM$2&gt;Input_Tidshorisont,BlankTegn,IF(AM$2=0,SUM(Materialedata[[#This Row],[A1-A3/m²]:[A4/m²]]),
AL31+IF(AM$2=Input_Tidshorisont,SUM(Materialedata[[#This Row],[C3/m²]:[C4/m²]]),IF(MOD(AM$2,Materialedata[[#This Row],[Levetid]])=0,SUM(Materialedata[[#This Row],[A1-A3/m²]:[C4/m²]]),0))
))</f>
        <v>-4.8312000000000008</v>
      </c>
      <c r="AN31" s="141">
        <f>IF(AN$2&gt;Input_Tidshorisont,BlankTegn,IF(AN$2=0,SUM(Materialedata[[#This Row],[A1-A3/m²]:[A4/m²]]),
AM31+IF(AN$2=Input_Tidshorisont,SUM(Materialedata[[#This Row],[C3/m²]:[C4/m²]]),IF(MOD(AN$2,Materialedata[[#This Row],[Levetid]])=0,SUM(Materialedata[[#This Row],[A1-A3/m²]:[C4/m²]]),0))
))</f>
        <v>-4.8312000000000008</v>
      </c>
      <c r="AO31" s="141">
        <f>IF(AO$2&gt;Input_Tidshorisont,BlankTegn,IF(AO$2=0,SUM(Materialedata[[#This Row],[A1-A3/m²]:[A4/m²]]),
AN31+IF(AO$2=Input_Tidshorisont,SUM(Materialedata[[#This Row],[C3/m²]:[C4/m²]]),IF(MOD(AO$2,Materialedata[[#This Row],[Levetid]])=0,SUM(Materialedata[[#This Row],[A1-A3/m²]:[C4/m²]]),0))
))</f>
        <v>-4.8312000000000008</v>
      </c>
      <c r="AP31" s="141">
        <f>IF(AP$2&gt;Input_Tidshorisont,BlankTegn,IF(AP$2=0,SUM(Materialedata[[#This Row],[A1-A3/m²]:[A4/m²]]),
AO31+IF(AP$2=Input_Tidshorisont,SUM(Materialedata[[#This Row],[C3/m²]:[C4/m²]]),IF(MOD(AP$2,Materialedata[[#This Row],[Levetid]])=0,SUM(Materialedata[[#This Row],[A1-A3/m²]:[C4/m²]]),0))
))</f>
        <v>-4.8312000000000008</v>
      </c>
      <c r="AQ31" s="141">
        <f>IF(AQ$2&gt;Input_Tidshorisont,BlankTegn,IF(AQ$2=0,SUM(Materialedata[[#This Row],[A1-A3/m²]:[A4/m²]]),
AP31+IF(AQ$2=Input_Tidshorisont,SUM(Materialedata[[#This Row],[C3/m²]:[C4/m²]]),IF(MOD(AQ$2,Materialedata[[#This Row],[Levetid]])=0,SUM(Materialedata[[#This Row],[A1-A3/m²]:[C4/m²]]),0))
))</f>
        <v>-4.8312000000000008</v>
      </c>
      <c r="AR31" s="141">
        <f>IF(AR$2&gt;Input_Tidshorisont,BlankTegn,IF(AR$2=0,SUM(Materialedata[[#This Row],[A1-A3/m²]:[A4/m²]]),
AQ31+IF(AR$2=Input_Tidshorisont,SUM(Materialedata[[#This Row],[C3/m²]:[C4/m²]]),IF(MOD(AR$2,Materialedata[[#This Row],[Levetid]])=0,SUM(Materialedata[[#This Row],[A1-A3/m²]:[C4/m²]]),0))
))</f>
        <v>-4.8312000000000008</v>
      </c>
      <c r="AS31" s="141">
        <f>IF(AS$2&gt;Input_Tidshorisont,BlankTegn,IF(AS$2=0,SUM(Materialedata[[#This Row],[A1-A3/m²]:[A4/m²]]),
AR31+IF(AS$2=Input_Tidshorisont,SUM(Materialedata[[#This Row],[C3/m²]:[C4/m²]]),IF(MOD(AS$2,Materialedata[[#This Row],[Levetid]])=0,SUM(Materialedata[[#This Row],[A1-A3/m²]:[C4/m²]]),0))
))</f>
        <v>-4.8312000000000008</v>
      </c>
      <c r="AT31" s="141">
        <f>IF(AT$2&gt;Input_Tidshorisont,BlankTegn,IF(AT$2=0,SUM(Materialedata[[#This Row],[A1-A3/m²]:[A4/m²]]),
AS31+IF(AT$2=Input_Tidshorisont,SUM(Materialedata[[#This Row],[C3/m²]:[C4/m²]]),IF(MOD(AT$2,Materialedata[[#This Row],[Levetid]])=0,SUM(Materialedata[[#This Row],[A1-A3/m²]:[C4/m²]]),0))
))</f>
        <v>-4.8312000000000008</v>
      </c>
      <c r="AU31" s="141">
        <f>IF(AU$2&gt;Input_Tidshorisont,BlankTegn,IF(AU$2=0,SUM(Materialedata[[#This Row],[A1-A3/m²]:[A4/m²]]),
AT31+IF(AU$2=Input_Tidshorisont,SUM(Materialedata[[#This Row],[C3/m²]:[C4/m²]]),IF(MOD(AU$2,Materialedata[[#This Row],[Levetid]])=0,SUM(Materialedata[[#This Row],[A1-A3/m²]:[C4/m²]]),0))
))</f>
        <v>-4.8312000000000008</v>
      </c>
      <c r="AV31" s="141">
        <f>IF(AV$2&gt;Input_Tidshorisont,BlankTegn,IF(AV$2=0,SUM(Materialedata[[#This Row],[A1-A3/m²]:[A4/m²]]),
AU31+IF(AV$2=Input_Tidshorisont,SUM(Materialedata[[#This Row],[C3/m²]:[C4/m²]]),IF(MOD(AV$2,Materialedata[[#This Row],[Levetid]])=0,SUM(Materialedata[[#This Row],[A1-A3/m²]:[C4/m²]]),0))
))</f>
        <v>-4.8312000000000008</v>
      </c>
      <c r="AW31" s="141">
        <f>IF(AW$2&gt;Input_Tidshorisont,BlankTegn,IF(AW$2=0,SUM(Materialedata[[#This Row],[A1-A3/m²]:[A4/m²]]),
AV31+IF(AW$2=Input_Tidshorisont,SUM(Materialedata[[#This Row],[C3/m²]:[C4/m²]]),IF(MOD(AW$2,Materialedata[[#This Row],[Levetid]])=0,SUM(Materialedata[[#This Row],[A1-A3/m²]:[C4/m²]]),0))
))</f>
        <v>-4.8312000000000008</v>
      </c>
      <c r="AX31" s="141">
        <f>IF(AX$2&gt;Input_Tidshorisont,BlankTegn,IF(AX$2=0,SUM(Materialedata[[#This Row],[A1-A3/m²]:[A4/m²]]),
AW31+IF(AX$2=Input_Tidshorisont,SUM(Materialedata[[#This Row],[C3/m²]:[C4/m²]]),IF(MOD(AX$2,Materialedata[[#This Row],[Levetid]])=0,SUM(Materialedata[[#This Row],[A1-A3/m²]:[C4/m²]]),0))
))</f>
        <v>-4.8312000000000008</v>
      </c>
      <c r="AY31" s="141">
        <f>IF(AY$2&gt;Input_Tidshorisont,BlankTegn,IF(AY$2=0,SUM(Materialedata[[#This Row],[A1-A3/m²]:[A4/m²]]),
AX31+IF(AY$2=Input_Tidshorisont,SUM(Materialedata[[#This Row],[C3/m²]:[C4/m²]]),IF(MOD(AY$2,Materialedata[[#This Row],[Levetid]])=0,SUM(Materialedata[[#This Row],[A1-A3/m²]:[C4/m²]]),0))
))</f>
        <v>-4.8312000000000008</v>
      </c>
      <c r="AZ31" s="141">
        <f>IF(AZ$2&gt;Input_Tidshorisont,BlankTegn,IF(AZ$2=0,SUM(Materialedata[[#This Row],[A1-A3/m²]:[A4/m²]]),
AY31+IF(AZ$2=Input_Tidshorisont,SUM(Materialedata[[#This Row],[C3/m²]:[C4/m²]]),IF(MOD(AZ$2,Materialedata[[#This Row],[Levetid]])=0,SUM(Materialedata[[#This Row],[A1-A3/m²]:[C4/m²]]),0))
))</f>
        <v>-4.8312000000000008</v>
      </c>
      <c r="BA31" s="141">
        <f>IF(BA$2&gt;Input_Tidshorisont,BlankTegn,IF(BA$2=0,SUM(Materialedata[[#This Row],[A1-A3/m²]:[A4/m²]]),
AZ31+IF(BA$2=Input_Tidshorisont,SUM(Materialedata[[#This Row],[C3/m²]:[C4/m²]]),IF(MOD(BA$2,Materialedata[[#This Row],[Levetid]])=0,SUM(Materialedata[[#This Row],[A1-A3/m²]:[C4/m²]]),0))
))</f>
        <v>-4.8312000000000008</v>
      </c>
      <c r="BB31" s="141">
        <f>IF(BB$2&gt;Input_Tidshorisont,BlankTegn,IF(BB$2=0,SUM(Materialedata[[#This Row],[A1-A3/m²]:[A4/m²]]),
BA31+IF(BB$2=Input_Tidshorisont,SUM(Materialedata[[#This Row],[C3/m²]:[C4/m²]]),IF(MOD(BB$2,Materialedata[[#This Row],[Levetid]])=0,SUM(Materialedata[[#This Row],[A1-A3/m²]:[C4/m²]]),0))
))</f>
        <v>-4.8312000000000008</v>
      </c>
      <c r="BC31" s="141">
        <f>IF(BC$2&gt;Input_Tidshorisont,BlankTegn,IF(BC$2=0,SUM(Materialedata[[#This Row],[A1-A3/m²]:[A4/m²]]),
BB31+IF(BC$2=Input_Tidshorisont,SUM(Materialedata[[#This Row],[C3/m²]:[C4/m²]]),IF(MOD(BC$2,Materialedata[[#This Row],[Levetid]])=0,SUM(Materialedata[[#This Row],[A1-A3/m²]:[C4/m²]]),0))
))</f>
        <v>-4.8312000000000008</v>
      </c>
      <c r="BD31" s="141">
        <f>IF(BD$2&gt;Input_Tidshorisont,BlankTegn,IF(BD$2=0,SUM(Materialedata[[#This Row],[A1-A3/m²]:[A4/m²]]),
BC31+IF(BD$2=Input_Tidshorisont,SUM(Materialedata[[#This Row],[C3/m²]:[C4/m²]]),IF(MOD(BD$2,Materialedata[[#This Row],[Levetid]])=0,SUM(Materialedata[[#This Row],[A1-A3/m²]:[C4/m²]]),0))
))</f>
        <v>-4.8312000000000008</v>
      </c>
      <c r="BE31" s="141">
        <f>IF(BE$2&gt;Input_Tidshorisont,BlankTegn,IF(BE$2=0,SUM(Materialedata[[#This Row],[A1-A3/m²]:[A4/m²]]),
BD31+IF(BE$2=Input_Tidshorisont,SUM(Materialedata[[#This Row],[C3/m²]:[C4/m²]]),IF(MOD(BE$2,Materialedata[[#This Row],[Levetid]])=0,SUM(Materialedata[[#This Row],[A1-A3/m²]:[C4/m²]]),0))
))</f>
        <v>-4.8312000000000008</v>
      </c>
      <c r="BF31" s="141">
        <f>IF(BF$2&gt;Input_Tidshorisont,BlankTegn,IF(BF$2=0,SUM(Materialedata[[#This Row],[A1-A3/m²]:[A4/m²]]),
BE31+IF(BF$2=Input_Tidshorisont,SUM(Materialedata[[#This Row],[C3/m²]:[C4/m²]]),IF(MOD(BF$2,Materialedata[[#This Row],[Levetid]])=0,SUM(Materialedata[[#This Row],[A1-A3/m²]:[C4/m²]]),0))
))</f>
        <v>-4.8312000000000008</v>
      </c>
      <c r="BG31" s="141">
        <f>IF(BG$2&gt;Input_Tidshorisont,BlankTegn,IF(BG$2=0,SUM(Materialedata[[#This Row],[A1-A3/m²]:[A4/m²]]),
BF31+IF(BG$2=Input_Tidshorisont,SUM(Materialedata[[#This Row],[C3/m²]:[C4/m²]]),IF(MOD(BG$2,Materialedata[[#This Row],[Levetid]])=0,SUM(Materialedata[[#This Row],[A1-A3/m²]:[C4/m²]]),0))
))</f>
        <v>-4.8312000000000008</v>
      </c>
      <c r="BH31" s="141">
        <f>IF(BH$2&gt;Input_Tidshorisont,BlankTegn,IF(BH$2=0,SUM(Materialedata[[#This Row],[A1-A3/m²]:[A4/m²]]),
BG31+IF(BH$2=Input_Tidshorisont,SUM(Materialedata[[#This Row],[C3/m²]:[C4/m²]]),IF(MOD(BH$2,Materialedata[[#This Row],[Levetid]])=0,SUM(Materialedata[[#This Row],[A1-A3/m²]:[C4/m²]]),0))
))</f>
        <v>-4.8312000000000008</v>
      </c>
      <c r="BI31" s="141">
        <f>IF(BI$2&gt;Input_Tidshorisont,BlankTegn,IF(BI$2=0,SUM(Materialedata[[#This Row],[A1-A3/m²]:[A4/m²]]),
BH31+IF(BI$2=Input_Tidshorisont,SUM(Materialedata[[#This Row],[C3/m²]:[C4/m²]]),IF(MOD(BI$2,Materialedata[[#This Row],[Levetid]])=0,SUM(Materialedata[[#This Row],[A1-A3/m²]:[C4/m²]]),0))
))</f>
        <v>-4.8312000000000008</v>
      </c>
      <c r="BJ31" s="141">
        <f>IF(BJ$2&gt;Input_Tidshorisont,BlankTegn,IF(BJ$2=0,SUM(Materialedata[[#This Row],[A1-A3/m²]:[A4/m²]]),
BI31+IF(BJ$2=Input_Tidshorisont,SUM(Materialedata[[#This Row],[C3/m²]:[C4/m²]]),IF(MOD(BJ$2,Materialedata[[#This Row],[Levetid]])=0,SUM(Materialedata[[#This Row],[A1-A3/m²]:[C4/m²]]),0))
))</f>
        <v>-4.8312000000000008</v>
      </c>
      <c r="BK31" s="141">
        <f>IF(BK$2&gt;Input_Tidshorisont,BlankTegn,IF(BK$2=0,SUM(Materialedata[[#This Row],[A1-A3/m²]:[A4/m²]]),
BJ31+IF(BK$2=Input_Tidshorisont,SUM(Materialedata[[#This Row],[C3/m²]:[C4/m²]]),IF(MOD(BK$2,Materialedata[[#This Row],[Levetid]])=0,SUM(Materialedata[[#This Row],[A1-A3/m²]:[C4/m²]]),0))
))</f>
        <v>-4.8312000000000008</v>
      </c>
      <c r="BL31" s="141">
        <f>IF(BL$2&gt;Input_Tidshorisont,BlankTegn,IF(BL$2=0,SUM(Materialedata[[#This Row],[A1-A3/m²]:[A4/m²]]),
BK31+IF(BL$2=Input_Tidshorisont,SUM(Materialedata[[#This Row],[C3/m²]:[C4/m²]]),IF(MOD(BL$2,Materialedata[[#This Row],[Levetid]])=0,SUM(Materialedata[[#This Row],[A1-A3/m²]:[C4/m²]]),0))
))</f>
        <v>-4.8312000000000008</v>
      </c>
      <c r="BM31" s="141">
        <f>IF(BM$2&gt;Input_Tidshorisont,BlankTegn,IF(BM$2=0,SUM(Materialedata[[#This Row],[A1-A3/m²]:[A4/m²]]),
BL31+IF(BM$2=Input_Tidshorisont,SUM(Materialedata[[#This Row],[C3/m²]:[C4/m²]]),IF(MOD(BM$2,Materialedata[[#This Row],[Levetid]])=0,SUM(Materialedata[[#This Row],[A1-A3/m²]:[C4/m²]]),0))
))</f>
        <v>-4.8312000000000008</v>
      </c>
      <c r="BN31" s="141">
        <f>IF(BN$2&gt;Input_Tidshorisont,BlankTegn,IF(BN$2=0,SUM(Materialedata[[#This Row],[A1-A3/m²]:[A4/m²]]),
BM31+IF(BN$2=Input_Tidshorisont,SUM(Materialedata[[#This Row],[C3/m²]:[C4/m²]]),IF(MOD(BN$2,Materialedata[[#This Row],[Levetid]])=0,SUM(Materialedata[[#This Row],[A1-A3/m²]:[C4/m²]]),0))
))</f>
        <v>-4.8312000000000008</v>
      </c>
      <c r="BO31" s="141">
        <f>IF(BO$2&gt;Input_Tidshorisont,BlankTegn,IF(BO$2=0,SUM(Materialedata[[#This Row],[A1-A3/m²]:[A4/m²]]),
BN31+IF(BO$2=Input_Tidshorisont,SUM(Materialedata[[#This Row],[C3/m²]:[C4/m²]]),IF(MOD(BO$2,Materialedata[[#This Row],[Levetid]])=0,SUM(Materialedata[[#This Row],[A1-A3/m²]:[C4/m²]]),0))
))</f>
        <v>-4.8312000000000008</v>
      </c>
      <c r="BP31" s="141">
        <f>IF(BP$2&gt;Input_Tidshorisont,BlankTegn,IF(BP$2=0,SUM(Materialedata[[#This Row],[A1-A3/m²]:[A4/m²]]),
BO31+IF(BP$2=Input_Tidshorisont,SUM(Materialedata[[#This Row],[C3/m²]:[C4/m²]]),IF(MOD(BP$2,Materialedata[[#This Row],[Levetid]])=0,SUM(Materialedata[[#This Row],[A1-A3/m²]:[C4/m²]]),0))
))</f>
        <v>-4.8312000000000008</v>
      </c>
      <c r="BQ31" s="141">
        <f>IF(BQ$2&gt;Input_Tidshorisont,BlankTegn,IF(BQ$2=0,SUM(Materialedata[[#This Row],[A1-A3/m²]:[A4/m²]]),
BP31+IF(BQ$2=Input_Tidshorisont,SUM(Materialedata[[#This Row],[C3/m²]:[C4/m²]]),IF(MOD(BQ$2,Materialedata[[#This Row],[Levetid]])=0,SUM(Materialedata[[#This Row],[A1-A3/m²]:[C4/m²]]),0))
))</f>
        <v>-4.8312000000000008</v>
      </c>
      <c r="BR31" s="141">
        <f>IF(BR$2&gt;Input_Tidshorisont,BlankTegn,IF(BR$2=0,SUM(Materialedata[[#This Row],[A1-A3/m²]:[A4/m²]]),
BQ31+IF(BR$2=Input_Tidshorisont,SUM(Materialedata[[#This Row],[C3/m²]:[C4/m²]]),IF(MOD(BR$2,Materialedata[[#This Row],[Levetid]])=0,SUM(Materialedata[[#This Row],[A1-A3/m²]:[C4/m²]]),0))
))</f>
        <v>-4.8312000000000008</v>
      </c>
      <c r="BS31" s="141">
        <f>IF(BS$2&gt;Input_Tidshorisont,BlankTegn,IF(BS$2=0,SUM(Materialedata[[#This Row],[A1-A3/m²]:[A4/m²]]),
BR31+IF(BS$2=Input_Tidshorisont,SUM(Materialedata[[#This Row],[C3/m²]:[C4/m²]]),IF(MOD(BS$2,Materialedata[[#This Row],[Levetid]])=0,SUM(Materialedata[[#This Row],[A1-A3/m²]:[C4/m²]]),0))
))</f>
        <v>-4.8312000000000008</v>
      </c>
      <c r="BT31" s="141">
        <f>IF(BT$2&gt;Input_Tidshorisont,BlankTegn,IF(BT$2=0,SUM(Materialedata[[#This Row],[A1-A3/m²]:[A4/m²]]),
BS31+IF(BT$2=Input_Tidshorisont,SUM(Materialedata[[#This Row],[C3/m²]:[C4/m²]]),IF(MOD(BT$2,Materialedata[[#This Row],[Levetid]])=0,SUM(Materialedata[[#This Row],[A1-A3/m²]:[C4/m²]]),0))
))</f>
        <v>-4.8312000000000008</v>
      </c>
      <c r="BU31" s="141">
        <f>IF(BU$2&gt;Input_Tidshorisont,BlankTegn,IF(BU$2=0,SUM(Materialedata[[#This Row],[A1-A3/m²]:[A4/m²]]),
BT31+IF(BU$2=Input_Tidshorisont,SUM(Materialedata[[#This Row],[C3/m²]:[C4/m²]]),IF(MOD(BU$2,Materialedata[[#This Row],[Levetid]])=0,SUM(Materialedata[[#This Row],[A1-A3/m²]:[C4/m²]]),0))
))</f>
        <v>-4.8312000000000008</v>
      </c>
      <c r="BV31" s="141">
        <f>IF(BV$2&gt;Input_Tidshorisont,BlankTegn,IF(BV$2=0,SUM(Materialedata[[#This Row],[A1-A3/m²]:[A4/m²]]),
BU31+IF(BV$2=Input_Tidshorisont,SUM(Materialedata[[#This Row],[C3/m²]:[C4/m²]]),IF(MOD(BV$2,Materialedata[[#This Row],[Levetid]])=0,SUM(Materialedata[[#This Row],[A1-A3/m²]:[C4/m²]]),0))
))</f>
        <v>-4.8312000000000008</v>
      </c>
      <c r="BW31" s="141">
        <f>IF(BW$2&gt;Input_Tidshorisont,BlankTegn,IF(BW$2=0,SUM(Materialedata[[#This Row],[A1-A3/m²]:[A4/m²]]),
BV31+IF(BW$2=Input_Tidshorisont,SUM(Materialedata[[#This Row],[C3/m²]:[C4/m²]]),IF(MOD(BW$2,Materialedata[[#This Row],[Levetid]])=0,SUM(Materialedata[[#This Row],[A1-A3/m²]:[C4/m²]]),0))
))</f>
        <v>-4.8312000000000008</v>
      </c>
      <c r="BX31" s="141">
        <f>IF(BX$2&gt;Input_Tidshorisont,BlankTegn,IF(BX$2=0,SUM(Materialedata[[#This Row],[A1-A3/m²]:[A4/m²]]),
BW31+IF(BX$2=Input_Tidshorisont,SUM(Materialedata[[#This Row],[C3/m²]:[C4/m²]]),IF(MOD(BX$2,Materialedata[[#This Row],[Levetid]])=0,SUM(Materialedata[[#This Row],[A1-A3/m²]:[C4/m²]]),0))
))</f>
        <v>-4.8312000000000008</v>
      </c>
      <c r="BY31" s="141">
        <f>IF(BY$2&gt;Input_Tidshorisont,BlankTegn,IF(BY$2=0,SUM(Materialedata[[#This Row],[A1-A3/m²]:[A4/m²]]),
BX31+IF(BY$2=Input_Tidshorisont,SUM(Materialedata[[#This Row],[C3/m²]:[C4/m²]]),IF(MOD(BY$2,Materialedata[[#This Row],[Levetid]])=0,SUM(Materialedata[[#This Row],[A1-A3/m²]:[C4/m²]]),0))
))</f>
        <v>-4.8312000000000008</v>
      </c>
      <c r="BZ31" s="141">
        <f>IF(BZ$2&gt;Input_Tidshorisont,BlankTegn,IF(BZ$2=0,SUM(Materialedata[[#This Row],[A1-A3/m²]:[A4/m²]]),
BY31+IF(BZ$2=Input_Tidshorisont,SUM(Materialedata[[#This Row],[C3/m²]:[C4/m²]]),IF(MOD(BZ$2,Materialedata[[#This Row],[Levetid]])=0,SUM(Materialedata[[#This Row],[A1-A3/m²]:[C4/m²]]),0))
))</f>
        <v>-4.8312000000000008</v>
      </c>
      <c r="CA31" s="141">
        <f>IF(CA$2&gt;Input_Tidshorisont,BlankTegn,IF(CA$2=0,SUM(Materialedata[[#This Row],[A1-A3/m²]:[A4/m²]]),
BZ31+IF(CA$2=Input_Tidshorisont,SUM(Materialedata[[#This Row],[C3/m²]:[C4/m²]]),IF(MOD(CA$2,Materialedata[[#This Row],[Levetid]])=0,SUM(Materialedata[[#This Row],[A1-A3/m²]:[C4/m²]]),0))
))</f>
        <v>-4.8312000000000008</v>
      </c>
      <c r="CB31" s="141">
        <f>IF(CB$2&gt;Input_Tidshorisont,BlankTegn,IF(CB$2=0,SUM(Materialedata[[#This Row],[A1-A3/m²]:[A4/m²]]),
CA31+IF(CB$2=Input_Tidshorisont,SUM(Materialedata[[#This Row],[C3/m²]:[C4/m²]]),IF(MOD(CB$2,Materialedata[[#This Row],[Levetid]])=0,SUM(Materialedata[[#This Row],[A1-A3/m²]:[C4/m²]]),0))
))</f>
        <v>-4.8312000000000008</v>
      </c>
      <c r="CC31" s="141">
        <f>IF(CC$2&gt;Input_Tidshorisont,BlankTegn,IF(CC$2=0,SUM(Materialedata[[#This Row],[A1-A3/m²]:[A4/m²]]),
CB31+IF(CC$2=Input_Tidshorisont,SUM(Materialedata[[#This Row],[C3/m²]:[C4/m²]]),IF(MOD(CC$2,Materialedata[[#This Row],[Levetid]])=0,SUM(Materialedata[[#This Row],[A1-A3/m²]:[C4/m²]]),0))
))</f>
        <v>-4.8312000000000008</v>
      </c>
      <c r="CD31" s="141">
        <f>IF(CD$2&gt;Input_Tidshorisont,BlankTegn,IF(CD$2=0,SUM(Materialedata[[#This Row],[A1-A3/m²]:[A4/m²]]),
CC31+IF(CD$2=Input_Tidshorisont,SUM(Materialedata[[#This Row],[C3/m²]:[C4/m²]]),IF(MOD(CD$2,Materialedata[[#This Row],[Levetid]])=0,SUM(Materialedata[[#This Row],[A1-A3/m²]:[C4/m²]]),0))
))</f>
        <v>-4.8312000000000008</v>
      </c>
      <c r="CE31" s="141">
        <f>IF(CE$2&gt;Input_Tidshorisont,BlankTegn,IF(CE$2=0,SUM(Materialedata[[#This Row],[A1-A3/m²]:[A4/m²]]),
CD31+IF(CE$2=Input_Tidshorisont,SUM(Materialedata[[#This Row],[C3/m²]:[C4/m²]]),IF(MOD(CE$2,Materialedata[[#This Row],[Levetid]])=0,SUM(Materialedata[[#This Row],[A1-A3/m²]:[C4/m²]]),0))
))</f>
        <v>-4.8312000000000008</v>
      </c>
      <c r="CF31" s="141">
        <f>IF(CF$2&gt;Input_Tidshorisont,BlankTegn,IF(CF$2=0,SUM(Materialedata[[#This Row],[A1-A3/m²]:[A4/m²]]),
CE31+IF(CF$2=Input_Tidshorisont,SUM(Materialedata[[#This Row],[C3/m²]:[C4/m²]]),IF(MOD(CF$2,Materialedata[[#This Row],[Levetid]])=0,SUM(Materialedata[[#This Row],[A1-A3/m²]:[C4/m²]]),0))
))</f>
        <v>-4.8312000000000008</v>
      </c>
      <c r="CG31" s="141">
        <f>IF(CG$2&gt;Input_Tidshorisont,BlankTegn,IF(CG$2=0,SUM(Materialedata[[#This Row],[A1-A3/m²]:[A4/m²]]),
CF31+IF(CG$2=Input_Tidshorisont,SUM(Materialedata[[#This Row],[C3/m²]:[C4/m²]]),IF(MOD(CG$2,Materialedata[[#This Row],[Levetid]])=0,SUM(Materialedata[[#This Row],[A1-A3/m²]:[C4/m²]]),0))
))</f>
        <v>-4.8312000000000008</v>
      </c>
      <c r="CH31" s="141">
        <f>IF(CH$2&gt;Input_Tidshorisont,BlankTegn,IF(CH$2=0,SUM(Materialedata[[#This Row],[A1-A3/m²]:[A4/m²]]),
CG31+IF(CH$2=Input_Tidshorisont,SUM(Materialedata[[#This Row],[C3/m²]:[C4/m²]]),IF(MOD(CH$2,Materialedata[[#This Row],[Levetid]])=0,SUM(Materialedata[[#This Row],[A1-A3/m²]:[C4/m²]]),0))
))</f>
        <v>3.0007999999999999</v>
      </c>
      <c r="CI31" s="141" t="str">
        <f>IF(CI$2&gt;Input_Tidshorisont,BlankTegn,IF(CI$2=0,SUM(Materialedata[[#This Row],[A1-A3/m²]:[A4/m²]]),
CH31+IF(CI$2=Input_Tidshorisont,SUM(Materialedata[[#This Row],[C3/m²]:[C4/m²]]),IF(MOD(CI$2,Materialedata[[#This Row],[Levetid]])=0,SUM(Materialedata[[#This Row],[A1-A3/m²]:[C4/m²]]),0))
))</f>
        <v>.</v>
      </c>
      <c r="CJ31" s="141" t="str">
        <f>IF(CJ$2&gt;Input_Tidshorisont,BlankTegn,IF(CJ$2=0,SUM(Materialedata[[#This Row],[A1-A3/m²]:[A4/m²]]),
CI31+IF(CJ$2=Input_Tidshorisont,SUM(Materialedata[[#This Row],[C3/m²]:[C4/m²]]),IF(MOD(CJ$2,Materialedata[[#This Row],[Levetid]])=0,SUM(Materialedata[[#This Row],[A1-A3/m²]:[C4/m²]]),0))
))</f>
        <v>.</v>
      </c>
      <c r="CK31" s="141" t="str">
        <f>IF(CK$2&gt;Input_Tidshorisont,BlankTegn,IF(CK$2=0,SUM(Materialedata[[#This Row],[A1-A3/m²]:[A4/m²]]),
CJ31+IF(CK$2=Input_Tidshorisont,SUM(Materialedata[[#This Row],[C3/m²]:[C4/m²]]),IF(MOD(CK$2,Materialedata[[#This Row],[Levetid]])=0,SUM(Materialedata[[#This Row],[A1-A3/m²]:[C4/m²]]),0))
))</f>
        <v>.</v>
      </c>
      <c r="CL31" s="141" t="str">
        <f>IF(CL$2&gt;Input_Tidshorisont,BlankTegn,IF(CL$2=0,SUM(Materialedata[[#This Row],[A1-A3/m²]:[A4/m²]]),
CK31+IF(CL$2=Input_Tidshorisont,SUM(Materialedata[[#This Row],[C3/m²]:[C4/m²]]),IF(MOD(CL$2,Materialedata[[#This Row],[Levetid]])=0,SUM(Materialedata[[#This Row],[A1-A3/m²]:[C4/m²]]),0))
))</f>
        <v>.</v>
      </c>
      <c r="CM31" s="141" t="str">
        <f>IF(CM$2&gt;Input_Tidshorisont,BlankTegn,IF(CM$2=0,SUM(Materialedata[[#This Row],[A1-A3/m²]:[A4/m²]]),
CL31+IF(CM$2=Input_Tidshorisont,SUM(Materialedata[[#This Row],[C3/m²]:[C4/m²]]),IF(MOD(CM$2,Materialedata[[#This Row],[Levetid]])=0,SUM(Materialedata[[#This Row],[A1-A3/m²]:[C4/m²]]),0))
))</f>
        <v>.</v>
      </c>
      <c r="CN31" s="141" t="str">
        <f>IF(CN$2&gt;Input_Tidshorisont,BlankTegn,IF(CN$2=0,SUM(Materialedata[[#This Row],[A1-A3/m²]:[A4/m²]]),
CM31+IF(CN$2=Input_Tidshorisont,SUM(Materialedata[[#This Row],[C3/m²]:[C4/m²]]),IF(MOD(CN$2,Materialedata[[#This Row],[Levetid]])=0,SUM(Materialedata[[#This Row],[A1-A3/m²]:[C4/m²]]),0))
))</f>
        <v>.</v>
      </c>
      <c r="CO31" s="141" t="str">
        <f>IF(CO$2&gt;Input_Tidshorisont,BlankTegn,IF(CO$2=0,SUM(Materialedata[[#This Row],[A1-A3/m²]:[A4/m²]]),
CN31+IF(CO$2=Input_Tidshorisont,SUM(Materialedata[[#This Row],[C3/m²]:[C4/m²]]),IF(MOD(CO$2,Materialedata[[#This Row],[Levetid]])=0,SUM(Materialedata[[#This Row],[A1-A3/m²]:[C4/m²]]),0))
))</f>
        <v>.</v>
      </c>
      <c r="CP31" s="141" t="str">
        <f>IF(CP$2&gt;Input_Tidshorisont,BlankTegn,IF(CP$2=0,SUM(Materialedata[[#This Row],[A1-A3/m²]:[A4/m²]]),
CO31+IF(CP$2=Input_Tidshorisont,SUM(Materialedata[[#This Row],[C3/m²]:[C4/m²]]),IF(MOD(CP$2,Materialedata[[#This Row],[Levetid]])=0,SUM(Materialedata[[#This Row],[A1-A3/m²]:[C4/m²]]),0))
))</f>
        <v>.</v>
      </c>
      <c r="CQ31" s="141" t="str">
        <f>IF(CQ$2&gt;Input_Tidshorisont,BlankTegn,IF(CQ$2=0,SUM(Materialedata[[#This Row],[A1-A3/m²]:[A4/m²]]),
CP31+IF(CQ$2=Input_Tidshorisont,SUM(Materialedata[[#This Row],[C3/m²]:[C4/m²]]),IF(MOD(CQ$2,Materialedata[[#This Row],[Levetid]])=0,SUM(Materialedata[[#This Row],[A1-A3/m²]:[C4/m²]]),0))
))</f>
        <v>.</v>
      </c>
      <c r="CR31" s="141" t="str">
        <f>IF(CR$2&gt;Input_Tidshorisont,BlankTegn,IF(CR$2=0,SUM(Materialedata[[#This Row],[A1-A3/m²]:[A4/m²]]),
CQ31+IF(CR$2=Input_Tidshorisont,SUM(Materialedata[[#This Row],[C3/m²]:[C4/m²]]),IF(MOD(CR$2,Materialedata[[#This Row],[Levetid]])=0,SUM(Materialedata[[#This Row],[A1-A3/m²]:[C4/m²]]),0))
))</f>
        <v>.</v>
      </c>
      <c r="CS31" s="141" t="str">
        <f>IF(CS$2&gt;Input_Tidshorisont,BlankTegn,IF(CS$2=0,SUM(Materialedata[[#This Row],[A1-A3/m²]:[A4/m²]]),
CR31+IF(CS$2=Input_Tidshorisont,SUM(Materialedata[[#This Row],[C3/m²]:[C4/m²]]),IF(MOD(CS$2,Materialedata[[#This Row],[Levetid]])=0,SUM(Materialedata[[#This Row],[A1-A3/m²]:[C4/m²]]),0))
))</f>
        <v>.</v>
      </c>
      <c r="CT31" s="141" t="str">
        <f>IF(CT$2&gt;Input_Tidshorisont,BlankTegn,IF(CT$2=0,SUM(Materialedata[[#This Row],[A1-A3/m²]:[A4/m²]]),
CS31+IF(CT$2=Input_Tidshorisont,SUM(Materialedata[[#This Row],[C3/m²]:[C4/m²]]),IF(MOD(CT$2,Materialedata[[#This Row],[Levetid]])=0,SUM(Materialedata[[#This Row],[A1-A3/m²]:[C4/m²]]),0))
))</f>
        <v>.</v>
      </c>
      <c r="CU31" s="141" t="str">
        <f>IF(CU$2&gt;Input_Tidshorisont,BlankTegn,IF(CU$2=0,SUM(Materialedata[[#This Row],[A1-A3/m²]:[A4/m²]]),
CT31+IF(CU$2=Input_Tidshorisont,SUM(Materialedata[[#This Row],[C3/m²]:[C4/m²]]),IF(MOD(CU$2,Materialedata[[#This Row],[Levetid]])=0,SUM(Materialedata[[#This Row],[A1-A3/m²]:[C4/m²]]),0))
))</f>
        <v>.</v>
      </c>
      <c r="CV31" s="141" t="str">
        <f>IF(CV$2&gt;Input_Tidshorisont,BlankTegn,IF(CV$2=0,SUM(Materialedata[[#This Row],[A1-A3/m²]:[A4/m²]]),
CU31+IF(CV$2=Input_Tidshorisont,SUM(Materialedata[[#This Row],[C3/m²]:[C4/m²]]),IF(MOD(CV$2,Materialedata[[#This Row],[Levetid]])=0,SUM(Materialedata[[#This Row],[A1-A3/m²]:[C4/m²]]),0))
))</f>
        <v>.</v>
      </c>
      <c r="CW31" s="141" t="str">
        <f>IF(CW$2&gt;Input_Tidshorisont,BlankTegn,IF(CW$2=0,SUM(Materialedata[[#This Row],[A1-A3/m²]:[A4/m²]]),
CV31+IF(CW$2=Input_Tidshorisont,SUM(Materialedata[[#This Row],[C3/m²]:[C4/m²]]),IF(MOD(CW$2,Materialedata[[#This Row],[Levetid]])=0,SUM(Materialedata[[#This Row],[A1-A3/m²]:[C4/m²]]),0))
))</f>
        <v>.</v>
      </c>
      <c r="CX31" s="141" t="str">
        <f>IF(CX$2&gt;Input_Tidshorisont,BlankTegn,IF(CX$2=0,SUM(Materialedata[[#This Row],[A1-A3/m²]:[A4/m²]]),
CW31+IF(CX$2=Input_Tidshorisont,SUM(Materialedata[[#This Row],[C3/m²]:[C4/m²]]),IF(MOD(CX$2,Materialedata[[#This Row],[Levetid]])=0,SUM(Materialedata[[#This Row],[A1-A3/m²]:[C4/m²]]),0))
))</f>
        <v>.</v>
      </c>
      <c r="CY31" s="141" t="str">
        <f>IF(CY$2&gt;Input_Tidshorisont,BlankTegn,IF(CY$2=0,SUM(Materialedata[[#This Row],[A1-A3/m²]:[A4/m²]]),
CX31+IF(CY$2=Input_Tidshorisont,SUM(Materialedata[[#This Row],[C3/m²]:[C4/m²]]),IF(MOD(CY$2,Materialedata[[#This Row],[Levetid]])=0,SUM(Materialedata[[#This Row],[A1-A3/m²]:[C4/m²]]),0))
))</f>
        <v>.</v>
      </c>
      <c r="CZ31" s="141" t="str">
        <f>IF(CZ$2&gt;Input_Tidshorisont,BlankTegn,IF(CZ$2=0,SUM(Materialedata[[#This Row],[A1-A3/m²]:[A4/m²]]),
CY31+IF(CZ$2=Input_Tidshorisont,SUM(Materialedata[[#This Row],[C3/m²]:[C4/m²]]),IF(MOD(CZ$2,Materialedata[[#This Row],[Levetid]])=0,SUM(Materialedata[[#This Row],[A1-A3/m²]:[C4/m²]]),0))
))</f>
        <v>.</v>
      </c>
      <c r="DA31" s="141" t="str">
        <f>IF(DA$2&gt;Input_Tidshorisont,BlankTegn,IF(DA$2=0,SUM(Materialedata[[#This Row],[A1-A3/m²]:[A4/m²]]),
CZ31+IF(DA$2=Input_Tidshorisont,SUM(Materialedata[[#This Row],[C3/m²]:[C4/m²]]),IF(MOD(DA$2,Materialedata[[#This Row],[Levetid]])=0,SUM(Materialedata[[#This Row],[A1-A3/m²]:[C4/m²]]),0))
))</f>
        <v>.</v>
      </c>
      <c r="DB31" s="141" t="str">
        <f>IF(DB$2&gt;Input_Tidshorisont,BlankTegn,IF(DB$2=0,SUM(Materialedata[[#This Row],[A1-A3/m²]:[A4/m²]]),
DA31+IF(DB$2=Input_Tidshorisont,SUM(Materialedata[[#This Row],[C3/m²]:[C4/m²]]),IF(MOD(DB$2,Materialedata[[#This Row],[Levetid]])=0,SUM(Materialedata[[#This Row],[A1-A3/m²]:[C4/m²]]),0))
))</f>
        <v>.</v>
      </c>
      <c r="DC31" s="141" t="str">
        <f>IF(DC$2&gt;Input_Tidshorisont,BlankTegn,IF(DC$2=0,SUM(Materialedata[[#This Row],[A1-A3/m²]:[A4/m²]]),
DB31+IF(DC$2=Input_Tidshorisont,SUM(Materialedata[[#This Row],[C3/m²]:[C4/m²]]),IF(MOD(DC$2,Materialedata[[#This Row],[Levetid]])=0,SUM(Materialedata[[#This Row],[A1-A3/m²]:[C4/m²]]),0))
))</f>
        <v>.</v>
      </c>
      <c r="DD31" s="141" t="str">
        <f>IF(DD$2&gt;Input_Tidshorisont,BlankTegn,IF(DD$2=0,SUM(Materialedata[[#This Row],[A1-A3/m²]:[A4/m²]]),
DC31+IF(DD$2=Input_Tidshorisont,SUM(Materialedata[[#This Row],[C3/m²]:[C4/m²]]),IF(MOD(DD$2,Materialedata[[#This Row],[Levetid]])=0,SUM(Materialedata[[#This Row],[A1-A3/m²]:[C4/m²]]),0))
))</f>
        <v>.</v>
      </c>
      <c r="DE31" s="141" t="str">
        <f>IF(DE$2&gt;Input_Tidshorisont,BlankTegn,IF(DE$2=0,SUM(Materialedata[[#This Row],[A1-A3/m²]:[A4/m²]]),
DD31+IF(DE$2=Input_Tidshorisont,SUM(Materialedata[[#This Row],[C3/m²]:[C4/m²]]),IF(MOD(DE$2,Materialedata[[#This Row],[Levetid]])=0,SUM(Materialedata[[#This Row],[A1-A3/m²]:[C4/m²]]),0))
))</f>
        <v>.</v>
      </c>
      <c r="DF31" s="141" t="str">
        <f>IF(DF$2&gt;Input_Tidshorisont,BlankTegn,IF(DF$2=0,SUM(Materialedata[[#This Row],[A1-A3/m²]:[A4/m²]]),
DE31+IF(DF$2=Input_Tidshorisont,SUM(Materialedata[[#This Row],[C3/m²]:[C4/m²]]),IF(MOD(DF$2,Materialedata[[#This Row],[Levetid]])=0,SUM(Materialedata[[#This Row],[A1-A3/m²]:[C4/m²]]),0))
))</f>
        <v>.</v>
      </c>
      <c r="DG31" s="141" t="str">
        <f>IF(DG$2&gt;Input_Tidshorisont,BlankTegn,IF(DG$2=0,SUM(Materialedata[[#This Row],[A1-A3/m²]:[A4/m²]]),
DF31+IF(DG$2=Input_Tidshorisont,SUM(Materialedata[[#This Row],[C3/m²]:[C4/m²]]),IF(MOD(DG$2,Materialedata[[#This Row],[Levetid]])=0,SUM(Materialedata[[#This Row],[A1-A3/m²]:[C4/m²]]),0))
))</f>
        <v>.</v>
      </c>
      <c r="DH31" s="141" t="str">
        <f>IF(DH$2&gt;Input_Tidshorisont,BlankTegn,IF(DH$2=0,SUM(Materialedata[[#This Row],[A1-A3/m²]:[A4/m²]]),
DG31+IF(DH$2=Input_Tidshorisont,SUM(Materialedata[[#This Row],[C3/m²]:[C4/m²]]),IF(MOD(DH$2,Materialedata[[#This Row],[Levetid]])=0,SUM(Materialedata[[#This Row],[A1-A3/m²]:[C4/m²]]),0))
))</f>
        <v>.</v>
      </c>
      <c r="DI31" s="141" t="str">
        <f>IF(DI$2&gt;Input_Tidshorisont,BlankTegn,IF(DI$2=0,SUM(Materialedata[[#This Row],[A1-A3/m²]:[A4/m²]]),
DH31+IF(DI$2=Input_Tidshorisont,SUM(Materialedata[[#This Row],[C3/m²]:[C4/m²]]),IF(MOD(DI$2,Materialedata[[#This Row],[Levetid]])=0,SUM(Materialedata[[#This Row],[A1-A3/m²]:[C4/m²]]),0))
))</f>
        <v>.</v>
      </c>
      <c r="DJ31" s="141" t="str">
        <f>IF(DJ$2&gt;Input_Tidshorisont,BlankTegn,IF(DJ$2=0,SUM(Materialedata[[#This Row],[A1-A3/m²]:[A4/m²]]),
DI31+IF(DJ$2=Input_Tidshorisont,SUM(Materialedata[[#This Row],[C3/m²]:[C4/m²]]),IF(MOD(DJ$2,Materialedata[[#This Row],[Levetid]])=0,SUM(Materialedata[[#This Row],[A1-A3/m²]:[C4/m²]]),0))
))</f>
        <v>.</v>
      </c>
      <c r="DK31" s="141" t="str">
        <f>IF(DK$2&gt;Input_Tidshorisont,BlankTegn,IF(DK$2=0,SUM(Materialedata[[#This Row],[A1-A3/m²]:[A4/m²]]),
DJ31+IF(DK$2=Input_Tidshorisont,SUM(Materialedata[[#This Row],[C3/m²]:[C4/m²]]),IF(MOD(DK$2,Materialedata[[#This Row],[Levetid]])=0,SUM(Materialedata[[#This Row],[A1-A3/m²]:[C4/m²]]),0))
))</f>
        <v>.</v>
      </c>
      <c r="DL31" s="141" t="str">
        <f>IF(DL$2&gt;Input_Tidshorisont,BlankTegn,IF(DL$2=0,SUM(Materialedata[[#This Row],[A1-A3/m²]:[A4/m²]]),
DK31+IF(DL$2=Input_Tidshorisont,SUM(Materialedata[[#This Row],[C3/m²]:[C4/m²]]),IF(MOD(DL$2,Materialedata[[#This Row],[Levetid]])=0,SUM(Materialedata[[#This Row],[A1-A3/m²]:[C4/m²]]),0))
))</f>
        <v>.</v>
      </c>
      <c r="DM31" s="19"/>
    </row>
    <row r="32" spans="1:117">
      <c r="A32" s="182" t="s">
        <v>248</v>
      </c>
      <c r="B32" s="182" t="s">
        <v>172</v>
      </c>
      <c r="C32" s="148" t="s">
        <v>131</v>
      </c>
      <c r="D32" s="184"/>
      <c r="E32" s="180" t="s">
        <v>155</v>
      </c>
      <c r="F32" s="182" t="s">
        <v>156</v>
      </c>
      <c r="G32" s="182">
        <v>60</v>
      </c>
      <c r="H32" s="183">
        <v>30</v>
      </c>
      <c r="I32" s="184">
        <f>0.2*1*1</f>
        <v>0.2</v>
      </c>
      <c r="J32" s="184" t="s">
        <v>232</v>
      </c>
      <c r="K32" s="182">
        <v>0.59</v>
      </c>
      <c r="L32" s="182" t="s">
        <v>221</v>
      </c>
      <c r="M32" s="185">
        <f>IF(ISBLANK(Materialedata[[#This Row],[A4-gruppe]]),BlankTegn,INDEX(Byggeproces[GWP],MATCH(Materialedata[[#This Row],[A4-gruppe]],Byggeproces[Gruppe/Undergruppe],0)))</f>
        <v>1.9599999999999999E-2</v>
      </c>
      <c r="N32" s="182">
        <v>0</v>
      </c>
      <c r="O32" s="182">
        <v>1.7999999999999999E-2</v>
      </c>
      <c r="P32" s="182">
        <v>-2.3199999999999998E-2</v>
      </c>
      <c r="Q32" s="277">
        <f>Materialedata[[#This Row],[A1-A3/standardenhed]]/0.037*0.2</f>
        <v>3.1891891891891895</v>
      </c>
      <c r="R32" s="278" cm="1">
        <f t="array" ref="R32">IFERROR(_xlfn.IFS(Materialedata[[#This Row],[Mængde-enhed]]="kg/m²",Materialedata[[#This Row],[A4/kg]]*Materialedata[[#This Row],[Mængde/m²]],Materialedata[[#This Row],[Mængde-enhed]]="m³/m²",Materialedata[[#This Row],[A4/kg]]*Materialedata[[#This Row],[Mængde/m²]]*Materialedata[[#This Row],[Densitet]]),"N/A")</f>
        <v>0.1176</v>
      </c>
      <c r="S32" s="277">
        <f>Materialedata[[#This Row],[C3/enhed]]/0.037*0.2</f>
        <v>0</v>
      </c>
      <c r="T32" s="277">
        <f>Materialedata[[#This Row],[C4/enhed]]/0.037*0.2</f>
        <v>9.7297297297297303E-2</v>
      </c>
      <c r="U32" s="277">
        <f>Materialedata[[#This Row],[D/enhed]]/0.037*0.2</f>
        <v>-0.12540540540540543</v>
      </c>
      <c r="V32" s="150">
        <f>IFERROR(INDEX(Range_Materiale_Genbrug,MATCH(Materialedata[[#This Row],[Komponent]],Facadekomponenter,0)),BlankTegn)</f>
        <v>0</v>
      </c>
      <c r="W32" s="150">
        <f>IFERROR(1-Materialedata[[#This Row],[Genbrug]],BlankTegn)</f>
        <v>1</v>
      </c>
      <c r="X32" s="186">
        <f>IFERROR(Materialedata[[#This Row],[A1-A3/m²_nyt]]*Materialedata[[#This Row],[Nyt]],BlankTegn)</f>
        <v>3.1891891891891895</v>
      </c>
      <c r="Y32" s="186">
        <f>Materialedata[[#This Row],[A4/m²_nyt]]</f>
        <v>0.1176</v>
      </c>
      <c r="Z32" s="186">
        <f>IFERROR(Materialedata[[#This Row],[C3/m²_nyt]]*Materialedata[[#This Row],[Nyt]],BlankTegn)</f>
        <v>0</v>
      </c>
      <c r="AA32" s="186">
        <f>IFERROR(Materialedata[[#This Row],[C4/m²_nyt]]*Materialedata[[#This Row],[Nyt]],BlankTegn)</f>
        <v>9.7297297297297303E-2</v>
      </c>
      <c r="AB32" s="186">
        <f>IFERROR(Materialedata[[#This Row],[D/m²_nyt]]*Materialedata[[#This Row],[Nyt]],BlankTegn)</f>
        <v>-0.12540540540540543</v>
      </c>
      <c r="AC32" s="187">
        <v>177.01999999999998</v>
      </c>
      <c r="AD32" s="188" t="s">
        <v>29</v>
      </c>
      <c r="AE32" s="182">
        <v>1</v>
      </c>
      <c r="AF32" s="189">
        <f>Materialedata[[#This Row],[Pris/enhed]]*Materialedata[[#This Row],[Omregning]]</f>
        <v>177.01999999999998</v>
      </c>
      <c r="AG32" s="190">
        <v>0.01</v>
      </c>
      <c r="AH32" s="191">
        <v>1</v>
      </c>
      <c r="AI32" s="162">
        <v>0</v>
      </c>
      <c r="AJ32" s="141">
        <f>IF(AJ$2&gt;Input_Tidshorisont,BlankTegn,IF(AJ$2=0,SUM(Materialedata[[#This Row],[A1-A3/m²]:[A4/m²]]),
AI32+IF(AJ$2=Input_Tidshorisont,SUM(Materialedata[[#This Row],[C3/m²]:[C4/m²]]),IF(MOD(AJ$2,Materialedata[[#This Row],[Levetid]])=0,SUM(Materialedata[[#This Row],[A1-A3/m²]:[C4/m²]]),0))
))</f>
        <v>3.3067891891891894</v>
      </c>
      <c r="AK32" s="141">
        <f>IF(AK$2&gt;Input_Tidshorisont,BlankTegn,IF(AK$2=0,SUM(Materialedata[[#This Row],[A1-A3/m²]:[A4/m²]]),
AJ32+IF(AK$2=Input_Tidshorisont,SUM(Materialedata[[#This Row],[C3/m²]:[C4/m²]]),IF(MOD(AK$2,Materialedata[[#This Row],[Levetid]])=0,SUM(Materialedata[[#This Row],[A1-A3/m²]:[C4/m²]]),0))
))</f>
        <v>3.3067891891891894</v>
      </c>
      <c r="AL32" s="141">
        <f>IF(AL$2&gt;Input_Tidshorisont,BlankTegn,IF(AL$2=0,SUM(Materialedata[[#This Row],[A1-A3/m²]:[A4/m²]]),
AK32+IF(AL$2=Input_Tidshorisont,SUM(Materialedata[[#This Row],[C3/m²]:[C4/m²]]),IF(MOD(AL$2,Materialedata[[#This Row],[Levetid]])=0,SUM(Materialedata[[#This Row],[A1-A3/m²]:[C4/m²]]),0))
))</f>
        <v>3.3067891891891894</v>
      </c>
      <c r="AM32" s="141">
        <f>IF(AM$2&gt;Input_Tidshorisont,BlankTegn,IF(AM$2=0,SUM(Materialedata[[#This Row],[A1-A3/m²]:[A4/m²]]),
AL32+IF(AM$2=Input_Tidshorisont,SUM(Materialedata[[#This Row],[C3/m²]:[C4/m²]]),IF(MOD(AM$2,Materialedata[[#This Row],[Levetid]])=0,SUM(Materialedata[[#This Row],[A1-A3/m²]:[C4/m²]]),0))
))</f>
        <v>3.3067891891891894</v>
      </c>
      <c r="AN32" s="141">
        <f>IF(AN$2&gt;Input_Tidshorisont,BlankTegn,IF(AN$2=0,SUM(Materialedata[[#This Row],[A1-A3/m²]:[A4/m²]]),
AM32+IF(AN$2=Input_Tidshorisont,SUM(Materialedata[[#This Row],[C3/m²]:[C4/m²]]),IF(MOD(AN$2,Materialedata[[#This Row],[Levetid]])=0,SUM(Materialedata[[#This Row],[A1-A3/m²]:[C4/m²]]),0))
))</f>
        <v>3.3067891891891894</v>
      </c>
      <c r="AO32" s="141">
        <f>IF(AO$2&gt;Input_Tidshorisont,BlankTegn,IF(AO$2=0,SUM(Materialedata[[#This Row],[A1-A3/m²]:[A4/m²]]),
AN32+IF(AO$2=Input_Tidshorisont,SUM(Materialedata[[#This Row],[C3/m²]:[C4/m²]]),IF(MOD(AO$2,Materialedata[[#This Row],[Levetid]])=0,SUM(Materialedata[[#This Row],[A1-A3/m²]:[C4/m²]]),0))
))</f>
        <v>3.3067891891891894</v>
      </c>
      <c r="AP32" s="141">
        <f>IF(AP$2&gt;Input_Tidshorisont,BlankTegn,IF(AP$2=0,SUM(Materialedata[[#This Row],[A1-A3/m²]:[A4/m²]]),
AO32+IF(AP$2=Input_Tidshorisont,SUM(Materialedata[[#This Row],[C3/m²]:[C4/m²]]),IF(MOD(AP$2,Materialedata[[#This Row],[Levetid]])=0,SUM(Materialedata[[#This Row],[A1-A3/m²]:[C4/m²]]),0))
))</f>
        <v>3.3067891891891894</v>
      </c>
      <c r="AQ32" s="141">
        <f>IF(AQ$2&gt;Input_Tidshorisont,BlankTegn,IF(AQ$2=0,SUM(Materialedata[[#This Row],[A1-A3/m²]:[A4/m²]]),
AP32+IF(AQ$2=Input_Tidshorisont,SUM(Materialedata[[#This Row],[C3/m²]:[C4/m²]]),IF(MOD(AQ$2,Materialedata[[#This Row],[Levetid]])=0,SUM(Materialedata[[#This Row],[A1-A3/m²]:[C4/m²]]),0))
))</f>
        <v>3.3067891891891894</v>
      </c>
      <c r="AR32" s="141">
        <f>IF(AR$2&gt;Input_Tidshorisont,BlankTegn,IF(AR$2=0,SUM(Materialedata[[#This Row],[A1-A3/m²]:[A4/m²]]),
AQ32+IF(AR$2=Input_Tidshorisont,SUM(Materialedata[[#This Row],[C3/m²]:[C4/m²]]),IF(MOD(AR$2,Materialedata[[#This Row],[Levetid]])=0,SUM(Materialedata[[#This Row],[A1-A3/m²]:[C4/m²]]),0))
))</f>
        <v>3.3067891891891894</v>
      </c>
      <c r="AS32" s="141">
        <f>IF(AS$2&gt;Input_Tidshorisont,BlankTegn,IF(AS$2=0,SUM(Materialedata[[#This Row],[A1-A3/m²]:[A4/m²]]),
AR32+IF(AS$2=Input_Tidshorisont,SUM(Materialedata[[#This Row],[C3/m²]:[C4/m²]]),IF(MOD(AS$2,Materialedata[[#This Row],[Levetid]])=0,SUM(Materialedata[[#This Row],[A1-A3/m²]:[C4/m²]]),0))
))</f>
        <v>3.3067891891891894</v>
      </c>
      <c r="AT32" s="141">
        <f>IF(AT$2&gt;Input_Tidshorisont,BlankTegn,IF(AT$2=0,SUM(Materialedata[[#This Row],[A1-A3/m²]:[A4/m²]]),
AS32+IF(AT$2=Input_Tidshorisont,SUM(Materialedata[[#This Row],[C3/m²]:[C4/m²]]),IF(MOD(AT$2,Materialedata[[#This Row],[Levetid]])=0,SUM(Materialedata[[#This Row],[A1-A3/m²]:[C4/m²]]),0))
))</f>
        <v>3.3067891891891894</v>
      </c>
      <c r="AU32" s="141">
        <f>IF(AU$2&gt;Input_Tidshorisont,BlankTegn,IF(AU$2=0,SUM(Materialedata[[#This Row],[A1-A3/m²]:[A4/m²]]),
AT32+IF(AU$2=Input_Tidshorisont,SUM(Materialedata[[#This Row],[C3/m²]:[C4/m²]]),IF(MOD(AU$2,Materialedata[[#This Row],[Levetid]])=0,SUM(Materialedata[[#This Row],[A1-A3/m²]:[C4/m²]]),0))
))</f>
        <v>3.3067891891891894</v>
      </c>
      <c r="AV32" s="141">
        <f>IF(AV$2&gt;Input_Tidshorisont,BlankTegn,IF(AV$2=0,SUM(Materialedata[[#This Row],[A1-A3/m²]:[A4/m²]]),
AU32+IF(AV$2=Input_Tidshorisont,SUM(Materialedata[[#This Row],[C3/m²]:[C4/m²]]),IF(MOD(AV$2,Materialedata[[#This Row],[Levetid]])=0,SUM(Materialedata[[#This Row],[A1-A3/m²]:[C4/m²]]),0))
))</f>
        <v>3.3067891891891894</v>
      </c>
      <c r="AW32" s="141">
        <f>IF(AW$2&gt;Input_Tidshorisont,BlankTegn,IF(AW$2=0,SUM(Materialedata[[#This Row],[A1-A3/m²]:[A4/m²]]),
AV32+IF(AW$2=Input_Tidshorisont,SUM(Materialedata[[#This Row],[C3/m²]:[C4/m²]]),IF(MOD(AW$2,Materialedata[[#This Row],[Levetid]])=0,SUM(Materialedata[[#This Row],[A1-A3/m²]:[C4/m²]]),0))
))</f>
        <v>3.3067891891891894</v>
      </c>
      <c r="AX32" s="141">
        <f>IF(AX$2&gt;Input_Tidshorisont,BlankTegn,IF(AX$2=0,SUM(Materialedata[[#This Row],[A1-A3/m²]:[A4/m²]]),
AW32+IF(AX$2=Input_Tidshorisont,SUM(Materialedata[[#This Row],[C3/m²]:[C4/m²]]),IF(MOD(AX$2,Materialedata[[#This Row],[Levetid]])=0,SUM(Materialedata[[#This Row],[A1-A3/m²]:[C4/m²]]),0))
))</f>
        <v>3.3067891891891894</v>
      </c>
      <c r="AY32" s="141">
        <f>IF(AY$2&gt;Input_Tidshorisont,BlankTegn,IF(AY$2=0,SUM(Materialedata[[#This Row],[A1-A3/m²]:[A4/m²]]),
AX32+IF(AY$2=Input_Tidshorisont,SUM(Materialedata[[#This Row],[C3/m²]:[C4/m²]]),IF(MOD(AY$2,Materialedata[[#This Row],[Levetid]])=0,SUM(Materialedata[[#This Row],[A1-A3/m²]:[C4/m²]]),0))
))</f>
        <v>3.3067891891891894</v>
      </c>
      <c r="AZ32" s="141">
        <f>IF(AZ$2&gt;Input_Tidshorisont,BlankTegn,IF(AZ$2=0,SUM(Materialedata[[#This Row],[A1-A3/m²]:[A4/m²]]),
AY32+IF(AZ$2=Input_Tidshorisont,SUM(Materialedata[[#This Row],[C3/m²]:[C4/m²]]),IF(MOD(AZ$2,Materialedata[[#This Row],[Levetid]])=0,SUM(Materialedata[[#This Row],[A1-A3/m²]:[C4/m²]]),0))
))</f>
        <v>3.3067891891891894</v>
      </c>
      <c r="BA32" s="141">
        <f>IF(BA$2&gt;Input_Tidshorisont,BlankTegn,IF(BA$2=0,SUM(Materialedata[[#This Row],[A1-A3/m²]:[A4/m²]]),
AZ32+IF(BA$2=Input_Tidshorisont,SUM(Materialedata[[#This Row],[C3/m²]:[C4/m²]]),IF(MOD(BA$2,Materialedata[[#This Row],[Levetid]])=0,SUM(Materialedata[[#This Row],[A1-A3/m²]:[C4/m²]]),0))
))</f>
        <v>3.3067891891891894</v>
      </c>
      <c r="BB32" s="141">
        <f>IF(BB$2&gt;Input_Tidshorisont,BlankTegn,IF(BB$2=0,SUM(Materialedata[[#This Row],[A1-A3/m²]:[A4/m²]]),
BA32+IF(BB$2=Input_Tidshorisont,SUM(Materialedata[[#This Row],[C3/m²]:[C4/m²]]),IF(MOD(BB$2,Materialedata[[#This Row],[Levetid]])=0,SUM(Materialedata[[#This Row],[A1-A3/m²]:[C4/m²]]),0))
))</f>
        <v>3.3067891891891894</v>
      </c>
      <c r="BC32" s="141">
        <f>IF(BC$2&gt;Input_Tidshorisont,BlankTegn,IF(BC$2=0,SUM(Materialedata[[#This Row],[A1-A3/m²]:[A4/m²]]),
BB32+IF(BC$2=Input_Tidshorisont,SUM(Materialedata[[#This Row],[C3/m²]:[C4/m²]]),IF(MOD(BC$2,Materialedata[[#This Row],[Levetid]])=0,SUM(Materialedata[[#This Row],[A1-A3/m²]:[C4/m²]]),0))
))</f>
        <v>3.3067891891891894</v>
      </c>
      <c r="BD32" s="141">
        <f>IF(BD$2&gt;Input_Tidshorisont,BlankTegn,IF(BD$2=0,SUM(Materialedata[[#This Row],[A1-A3/m²]:[A4/m²]]),
BC32+IF(BD$2=Input_Tidshorisont,SUM(Materialedata[[#This Row],[C3/m²]:[C4/m²]]),IF(MOD(BD$2,Materialedata[[#This Row],[Levetid]])=0,SUM(Materialedata[[#This Row],[A1-A3/m²]:[C4/m²]]),0))
))</f>
        <v>3.3067891891891894</v>
      </c>
      <c r="BE32" s="141">
        <f>IF(BE$2&gt;Input_Tidshorisont,BlankTegn,IF(BE$2=0,SUM(Materialedata[[#This Row],[A1-A3/m²]:[A4/m²]]),
BD32+IF(BE$2=Input_Tidshorisont,SUM(Materialedata[[#This Row],[C3/m²]:[C4/m²]]),IF(MOD(BE$2,Materialedata[[#This Row],[Levetid]])=0,SUM(Materialedata[[#This Row],[A1-A3/m²]:[C4/m²]]),0))
))</f>
        <v>3.3067891891891894</v>
      </c>
      <c r="BF32" s="141">
        <f>IF(BF$2&gt;Input_Tidshorisont,BlankTegn,IF(BF$2=0,SUM(Materialedata[[#This Row],[A1-A3/m²]:[A4/m²]]),
BE32+IF(BF$2=Input_Tidshorisont,SUM(Materialedata[[#This Row],[C3/m²]:[C4/m²]]),IF(MOD(BF$2,Materialedata[[#This Row],[Levetid]])=0,SUM(Materialedata[[#This Row],[A1-A3/m²]:[C4/m²]]),0))
))</f>
        <v>3.3067891891891894</v>
      </c>
      <c r="BG32" s="141">
        <f>IF(BG$2&gt;Input_Tidshorisont,BlankTegn,IF(BG$2=0,SUM(Materialedata[[#This Row],[A1-A3/m²]:[A4/m²]]),
BF32+IF(BG$2=Input_Tidshorisont,SUM(Materialedata[[#This Row],[C3/m²]:[C4/m²]]),IF(MOD(BG$2,Materialedata[[#This Row],[Levetid]])=0,SUM(Materialedata[[#This Row],[A1-A3/m²]:[C4/m²]]),0))
))</f>
        <v>3.3067891891891894</v>
      </c>
      <c r="BH32" s="141">
        <f>IF(BH$2&gt;Input_Tidshorisont,BlankTegn,IF(BH$2=0,SUM(Materialedata[[#This Row],[A1-A3/m²]:[A4/m²]]),
BG32+IF(BH$2=Input_Tidshorisont,SUM(Materialedata[[#This Row],[C3/m²]:[C4/m²]]),IF(MOD(BH$2,Materialedata[[#This Row],[Levetid]])=0,SUM(Materialedata[[#This Row],[A1-A3/m²]:[C4/m²]]),0))
))</f>
        <v>3.3067891891891894</v>
      </c>
      <c r="BI32" s="141">
        <f>IF(BI$2&gt;Input_Tidshorisont,BlankTegn,IF(BI$2=0,SUM(Materialedata[[#This Row],[A1-A3/m²]:[A4/m²]]),
BH32+IF(BI$2=Input_Tidshorisont,SUM(Materialedata[[#This Row],[C3/m²]:[C4/m²]]),IF(MOD(BI$2,Materialedata[[#This Row],[Levetid]])=0,SUM(Materialedata[[#This Row],[A1-A3/m²]:[C4/m²]]),0))
))</f>
        <v>3.3067891891891894</v>
      </c>
      <c r="BJ32" s="141">
        <f>IF(BJ$2&gt;Input_Tidshorisont,BlankTegn,IF(BJ$2=0,SUM(Materialedata[[#This Row],[A1-A3/m²]:[A4/m²]]),
BI32+IF(BJ$2=Input_Tidshorisont,SUM(Materialedata[[#This Row],[C3/m²]:[C4/m²]]),IF(MOD(BJ$2,Materialedata[[#This Row],[Levetid]])=0,SUM(Materialedata[[#This Row],[A1-A3/m²]:[C4/m²]]),0))
))</f>
        <v>3.3067891891891894</v>
      </c>
      <c r="BK32" s="141">
        <f>IF(BK$2&gt;Input_Tidshorisont,BlankTegn,IF(BK$2=0,SUM(Materialedata[[#This Row],[A1-A3/m²]:[A4/m²]]),
BJ32+IF(BK$2=Input_Tidshorisont,SUM(Materialedata[[#This Row],[C3/m²]:[C4/m²]]),IF(MOD(BK$2,Materialedata[[#This Row],[Levetid]])=0,SUM(Materialedata[[#This Row],[A1-A3/m²]:[C4/m²]]),0))
))</f>
        <v>3.3067891891891894</v>
      </c>
      <c r="BL32" s="141">
        <f>IF(BL$2&gt;Input_Tidshorisont,BlankTegn,IF(BL$2=0,SUM(Materialedata[[#This Row],[A1-A3/m²]:[A4/m²]]),
BK32+IF(BL$2=Input_Tidshorisont,SUM(Materialedata[[#This Row],[C3/m²]:[C4/m²]]),IF(MOD(BL$2,Materialedata[[#This Row],[Levetid]])=0,SUM(Materialedata[[#This Row],[A1-A3/m²]:[C4/m²]]),0))
))</f>
        <v>3.3067891891891894</v>
      </c>
      <c r="BM32" s="141">
        <f>IF(BM$2&gt;Input_Tidshorisont,BlankTegn,IF(BM$2=0,SUM(Materialedata[[#This Row],[A1-A3/m²]:[A4/m²]]),
BL32+IF(BM$2=Input_Tidshorisont,SUM(Materialedata[[#This Row],[C3/m²]:[C4/m²]]),IF(MOD(BM$2,Materialedata[[#This Row],[Levetid]])=0,SUM(Materialedata[[#This Row],[A1-A3/m²]:[C4/m²]]),0))
))</f>
        <v>3.3067891891891894</v>
      </c>
      <c r="BN32" s="141">
        <f>IF(BN$2&gt;Input_Tidshorisont,BlankTegn,IF(BN$2=0,SUM(Materialedata[[#This Row],[A1-A3/m²]:[A4/m²]]),
BM32+IF(BN$2=Input_Tidshorisont,SUM(Materialedata[[#This Row],[C3/m²]:[C4/m²]]),IF(MOD(BN$2,Materialedata[[#This Row],[Levetid]])=0,SUM(Materialedata[[#This Row],[A1-A3/m²]:[C4/m²]]),0))
))</f>
        <v>3.3067891891891894</v>
      </c>
      <c r="BO32" s="141">
        <f>IF(BO$2&gt;Input_Tidshorisont,BlankTegn,IF(BO$2=0,SUM(Materialedata[[#This Row],[A1-A3/m²]:[A4/m²]]),
BN32+IF(BO$2=Input_Tidshorisont,SUM(Materialedata[[#This Row],[C3/m²]:[C4/m²]]),IF(MOD(BO$2,Materialedata[[#This Row],[Levetid]])=0,SUM(Materialedata[[#This Row],[A1-A3/m²]:[C4/m²]]),0))
))</f>
        <v>3.3067891891891894</v>
      </c>
      <c r="BP32" s="141">
        <f>IF(BP$2&gt;Input_Tidshorisont,BlankTegn,IF(BP$2=0,SUM(Materialedata[[#This Row],[A1-A3/m²]:[A4/m²]]),
BO32+IF(BP$2=Input_Tidshorisont,SUM(Materialedata[[#This Row],[C3/m²]:[C4/m²]]),IF(MOD(BP$2,Materialedata[[#This Row],[Levetid]])=0,SUM(Materialedata[[#This Row],[A1-A3/m²]:[C4/m²]]),0))
))</f>
        <v>3.3067891891891894</v>
      </c>
      <c r="BQ32" s="141">
        <f>IF(BQ$2&gt;Input_Tidshorisont,BlankTegn,IF(BQ$2=0,SUM(Materialedata[[#This Row],[A1-A3/m²]:[A4/m²]]),
BP32+IF(BQ$2=Input_Tidshorisont,SUM(Materialedata[[#This Row],[C3/m²]:[C4/m²]]),IF(MOD(BQ$2,Materialedata[[#This Row],[Levetid]])=0,SUM(Materialedata[[#This Row],[A1-A3/m²]:[C4/m²]]),0))
))</f>
        <v>3.3067891891891894</v>
      </c>
      <c r="BR32" s="141">
        <f>IF(BR$2&gt;Input_Tidshorisont,BlankTegn,IF(BR$2=0,SUM(Materialedata[[#This Row],[A1-A3/m²]:[A4/m²]]),
BQ32+IF(BR$2=Input_Tidshorisont,SUM(Materialedata[[#This Row],[C3/m²]:[C4/m²]]),IF(MOD(BR$2,Materialedata[[#This Row],[Levetid]])=0,SUM(Materialedata[[#This Row],[A1-A3/m²]:[C4/m²]]),0))
))</f>
        <v>3.3067891891891894</v>
      </c>
      <c r="BS32" s="141">
        <f>IF(BS$2&gt;Input_Tidshorisont,BlankTegn,IF(BS$2=0,SUM(Materialedata[[#This Row],[A1-A3/m²]:[A4/m²]]),
BR32+IF(BS$2=Input_Tidshorisont,SUM(Materialedata[[#This Row],[C3/m²]:[C4/m²]]),IF(MOD(BS$2,Materialedata[[#This Row],[Levetid]])=0,SUM(Materialedata[[#This Row],[A1-A3/m²]:[C4/m²]]),0))
))</f>
        <v>3.3067891891891894</v>
      </c>
      <c r="BT32" s="141">
        <f>IF(BT$2&gt;Input_Tidshorisont,BlankTegn,IF(BT$2=0,SUM(Materialedata[[#This Row],[A1-A3/m²]:[A4/m²]]),
BS32+IF(BT$2=Input_Tidshorisont,SUM(Materialedata[[#This Row],[C3/m²]:[C4/m²]]),IF(MOD(BT$2,Materialedata[[#This Row],[Levetid]])=0,SUM(Materialedata[[#This Row],[A1-A3/m²]:[C4/m²]]),0))
))</f>
        <v>3.3067891891891894</v>
      </c>
      <c r="BU32" s="141">
        <f>IF(BU$2&gt;Input_Tidshorisont,BlankTegn,IF(BU$2=0,SUM(Materialedata[[#This Row],[A1-A3/m²]:[A4/m²]]),
BT32+IF(BU$2=Input_Tidshorisont,SUM(Materialedata[[#This Row],[C3/m²]:[C4/m²]]),IF(MOD(BU$2,Materialedata[[#This Row],[Levetid]])=0,SUM(Materialedata[[#This Row],[A1-A3/m²]:[C4/m²]]),0))
))</f>
        <v>3.3067891891891894</v>
      </c>
      <c r="BV32" s="141">
        <f>IF(BV$2&gt;Input_Tidshorisont,BlankTegn,IF(BV$2=0,SUM(Materialedata[[#This Row],[A1-A3/m²]:[A4/m²]]),
BU32+IF(BV$2=Input_Tidshorisont,SUM(Materialedata[[#This Row],[C3/m²]:[C4/m²]]),IF(MOD(BV$2,Materialedata[[#This Row],[Levetid]])=0,SUM(Materialedata[[#This Row],[A1-A3/m²]:[C4/m²]]),0))
))</f>
        <v>3.3067891891891894</v>
      </c>
      <c r="BW32" s="141">
        <f>IF(BW$2&gt;Input_Tidshorisont,BlankTegn,IF(BW$2=0,SUM(Materialedata[[#This Row],[A1-A3/m²]:[A4/m²]]),
BV32+IF(BW$2=Input_Tidshorisont,SUM(Materialedata[[#This Row],[C3/m²]:[C4/m²]]),IF(MOD(BW$2,Materialedata[[#This Row],[Levetid]])=0,SUM(Materialedata[[#This Row],[A1-A3/m²]:[C4/m²]]),0))
))</f>
        <v>3.3067891891891894</v>
      </c>
      <c r="BX32" s="141">
        <f>IF(BX$2&gt;Input_Tidshorisont,BlankTegn,IF(BX$2=0,SUM(Materialedata[[#This Row],[A1-A3/m²]:[A4/m²]]),
BW32+IF(BX$2=Input_Tidshorisont,SUM(Materialedata[[#This Row],[C3/m²]:[C4/m²]]),IF(MOD(BX$2,Materialedata[[#This Row],[Levetid]])=0,SUM(Materialedata[[#This Row],[A1-A3/m²]:[C4/m²]]),0))
))</f>
        <v>3.3067891891891894</v>
      </c>
      <c r="BY32" s="141">
        <f>IF(BY$2&gt;Input_Tidshorisont,BlankTegn,IF(BY$2=0,SUM(Materialedata[[#This Row],[A1-A3/m²]:[A4/m²]]),
BX32+IF(BY$2=Input_Tidshorisont,SUM(Materialedata[[#This Row],[C3/m²]:[C4/m²]]),IF(MOD(BY$2,Materialedata[[#This Row],[Levetid]])=0,SUM(Materialedata[[#This Row],[A1-A3/m²]:[C4/m²]]),0))
))</f>
        <v>3.3067891891891894</v>
      </c>
      <c r="BZ32" s="141">
        <f>IF(BZ$2&gt;Input_Tidshorisont,BlankTegn,IF(BZ$2=0,SUM(Materialedata[[#This Row],[A1-A3/m²]:[A4/m²]]),
BY32+IF(BZ$2=Input_Tidshorisont,SUM(Materialedata[[#This Row],[C3/m²]:[C4/m²]]),IF(MOD(BZ$2,Materialedata[[#This Row],[Levetid]])=0,SUM(Materialedata[[#This Row],[A1-A3/m²]:[C4/m²]]),0))
))</f>
        <v>3.3067891891891894</v>
      </c>
      <c r="CA32" s="141">
        <f>IF(CA$2&gt;Input_Tidshorisont,BlankTegn,IF(CA$2=0,SUM(Materialedata[[#This Row],[A1-A3/m²]:[A4/m²]]),
BZ32+IF(CA$2=Input_Tidshorisont,SUM(Materialedata[[#This Row],[C3/m²]:[C4/m²]]),IF(MOD(CA$2,Materialedata[[#This Row],[Levetid]])=0,SUM(Materialedata[[#This Row],[A1-A3/m²]:[C4/m²]]),0))
))</f>
        <v>3.3067891891891894</v>
      </c>
      <c r="CB32" s="141">
        <f>IF(CB$2&gt;Input_Tidshorisont,BlankTegn,IF(CB$2=0,SUM(Materialedata[[#This Row],[A1-A3/m²]:[A4/m²]]),
CA32+IF(CB$2=Input_Tidshorisont,SUM(Materialedata[[#This Row],[C3/m²]:[C4/m²]]),IF(MOD(CB$2,Materialedata[[#This Row],[Levetid]])=0,SUM(Materialedata[[#This Row],[A1-A3/m²]:[C4/m²]]),0))
))</f>
        <v>3.3067891891891894</v>
      </c>
      <c r="CC32" s="141">
        <f>IF(CC$2&gt;Input_Tidshorisont,BlankTegn,IF(CC$2=0,SUM(Materialedata[[#This Row],[A1-A3/m²]:[A4/m²]]),
CB32+IF(CC$2=Input_Tidshorisont,SUM(Materialedata[[#This Row],[C3/m²]:[C4/m²]]),IF(MOD(CC$2,Materialedata[[#This Row],[Levetid]])=0,SUM(Materialedata[[#This Row],[A1-A3/m²]:[C4/m²]]),0))
))</f>
        <v>3.3067891891891894</v>
      </c>
      <c r="CD32" s="141">
        <f>IF(CD$2&gt;Input_Tidshorisont,BlankTegn,IF(CD$2=0,SUM(Materialedata[[#This Row],[A1-A3/m²]:[A4/m²]]),
CC32+IF(CD$2=Input_Tidshorisont,SUM(Materialedata[[#This Row],[C3/m²]:[C4/m²]]),IF(MOD(CD$2,Materialedata[[#This Row],[Levetid]])=0,SUM(Materialedata[[#This Row],[A1-A3/m²]:[C4/m²]]),0))
))</f>
        <v>3.3067891891891894</v>
      </c>
      <c r="CE32" s="141">
        <f>IF(CE$2&gt;Input_Tidshorisont,BlankTegn,IF(CE$2=0,SUM(Materialedata[[#This Row],[A1-A3/m²]:[A4/m²]]),
CD32+IF(CE$2=Input_Tidshorisont,SUM(Materialedata[[#This Row],[C3/m²]:[C4/m²]]),IF(MOD(CE$2,Materialedata[[#This Row],[Levetid]])=0,SUM(Materialedata[[#This Row],[A1-A3/m²]:[C4/m²]]),0))
))</f>
        <v>3.3067891891891894</v>
      </c>
      <c r="CF32" s="141">
        <f>IF(CF$2&gt;Input_Tidshorisont,BlankTegn,IF(CF$2=0,SUM(Materialedata[[#This Row],[A1-A3/m²]:[A4/m²]]),
CE32+IF(CF$2=Input_Tidshorisont,SUM(Materialedata[[#This Row],[C3/m²]:[C4/m²]]),IF(MOD(CF$2,Materialedata[[#This Row],[Levetid]])=0,SUM(Materialedata[[#This Row],[A1-A3/m²]:[C4/m²]]),0))
))</f>
        <v>3.3067891891891894</v>
      </c>
      <c r="CG32" s="141">
        <f>IF(CG$2&gt;Input_Tidshorisont,BlankTegn,IF(CG$2=0,SUM(Materialedata[[#This Row],[A1-A3/m²]:[A4/m²]]),
CF32+IF(CG$2=Input_Tidshorisont,SUM(Materialedata[[#This Row],[C3/m²]:[C4/m²]]),IF(MOD(CG$2,Materialedata[[#This Row],[Levetid]])=0,SUM(Materialedata[[#This Row],[A1-A3/m²]:[C4/m²]]),0))
))</f>
        <v>3.3067891891891894</v>
      </c>
      <c r="CH32" s="141">
        <f>IF(CH$2&gt;Input_Tidshorisont,BlankTegn,IF(CH$2=0,SUM(Materialedata[[#This Row],[A1-A3/m²]:[A4/m²]]),
CG32+IF(CH$2=Input_Tidshorisont,SUM(Materialedata[[#This Row],[C3/m²]:[C4/m²]]),IF(MOD(CH$2,Materialedata[[#This Row],[Levetid]])=0,SUM(Materialedata[[#This Row],[A1-A3/m²]:[C4/m²]]),0))
))</f>
        <v>3.4040864864864866</v>
      </c>
      <c r="CI32" s="141" t="str">
        <f>IF(CI$2&gt;Input_Tidshorisont,BlankTegn,IF(CI$2=0,SUM(Materialedata[[#This Row],[A1-A3/m²]:[A4/m²]]),
CH32+IF(CI$2=Input_Tidshorisont,SUM(Materialedata[[#This Row],[C3/m²]:[C4/m²]]),IF(MOD(CI$2,Materialedata[[#This Row],[Levetid]])=0,SUM(Materialedata[[#This Row],[A1-A3/m²]:[C4/m²]]),0))
))</f>
        <v>.</v>
      </c>
      <c r="CJ32" s="141" t="str">
        <f>IF(CJ$2&gt;Input_Tidshorisont,BlankTegn,IF(CJ$2=0,SUM(Materialedata[[#This Row],[A1-A3/m²]:[A4/m²]]),
CI32+IF(CJ$2=Input_Tidshorisont,SUM(Materialedata[[#This Row],[C3/m²]:[C4/m²]]),IF(MOD(CJ$2,Materialedata[[#This Row],[Levetid]])=0,SUM(Materialedata[[#This Row],[A1-A3/m²]:[C4/m²]]),0))
))</f>
        <v>.</v>
      </c>
      <c r="CK32" s="141" t="str">
        <f>IF(CK$2&gt;Input_Tidshorisont,BlankTegn,IF(CK$2=0,SUM(Materialedata[[#This Row],[A1-A3/m²]:[A4/m²]]),
CJ32+IF(CK$2=Input_Tidshorisont,SUM(Materialedata[[#This Row],[C3/m²]:[C4/m²]]),IF(MOD(CK$2,Materialedata[[#This Row],[Levetid]])=0,SUM(Materialedata[[#This Row],[A1-A3/m²]:[C4/m²]]),0))
))</f>
        <v>.</v>
      </c>
      <c r="CL32" s="141" t="str">
        <f>IF(CL$2&gt;Input_Tidshorisont,BlankTegn,IF(CL$2=0,SUM(Materialedata[[#This Row],[A1-A3/m²]:[A4/m²]]),
CK32+IF(CL$2=Input_Tidshorisont,SUM(Materialedata[[#This Row],[C3/m²]:[C4/m²]]),IF(MOD(CL$2,Materialedata[[#This Row],[Levetid]])=0,SUM(Materialedata[[#This Row],[A1-A3/m²]:[C4/m²]]),0))
))</f>
        <v>.</v>
      </c>
      <c r="CM32" s="141" t="str">
        <f>IF(CM$2&gt;Input_Tidshorisont,BlankTegn,IF(CM$2=0,SUM(Materialedata[[#This Row],[A1-A3/m²]:[A4/m²]]),
CL32+IF(CM$2=Input_Tidshorisont,SUM(Materialedata[[#This Row],[C3/m²]:[C4/m²]]),IF(MOD(CM$2,Materialedata[[#This Row],[Levetid]])=0,SUM(Materialedata[[#This Row],[A1-A3/m²]:[C4/m²]]),0))
))</f>
        <v>.</v>
      </c>
      <c r="CN32" s="141" t="str">
        <f>IF(CN$2&gt;Input_Tidshorisont,BlankTegn,IF(CN$2=0,SUM(Materialedata[[#This Row],[A1-A3/m²]:[A4/m²]]),
CM32+IF(CN$2=Input_Tidshorisont,SUM(Materialedata[[#This Row],[C3/m²]:[C4/m²]]),IF(MOD(CN$2,Materialedata[[#This Row],[Levetid]])=0,SUM(Materialedata[[#This Row],[A1-A3/m²]:[C4/m²]]),0))
))</f>
        <v>.</v>
      </c>
      <c r="CO32" s="141" t="str">
        <f>IF(CO$2&gt;Input_Tidshorisont,BlankTegn,IF(CO$2=0,SUM(Materialedata[[#This Row],[A1-A3/m²]:[A4/m²]]),
CN32+IF(CO$2=Input_Tidshorisont,SUM(Materialedata[[#This Row],[C3/m²]:[C4/m²]]),IF(MOD(CO$2,Materialedata[[#This Row],[Levetid]])=0,SUM(Materialedata[[#This Row],[A1-A3/m²]:[C4/m²]]),0))
))</f>
        <v>.</v>
      </c>
      <c r="CP32" s="141" t="str">
        <f>IF(CP$2&gt;Input_Tidshorisont,BlankTegn,IF(CP$2=0,SUM(Materialedata[[#This Row],[A1-A3/m²]:[A4/m²]]),
CO32+IF(CP$2=Input_Tidshorisont,SUM(Materialedata[[#This Row],[C3/m²]:[C4/m²]]),IF(MOD(CP$2,Materialedata[[#This Row],[Levetid]])=0,SUM(Materialedata[[#This Row],[A1-A3/m²]:[C4/m²]]),0))
))</f>
        <v>.</v>
      </c>
      <c r="CQ32" s="141" t="str">
        <f>IF(CQ$2&gt;Input_Tidshorisont,BlankTegn,IF(CQ$2=0,SUM(Materialedata[[#This Row],[A1-A3/m²]:[A4/m²]]),
CP32+IF(CQ$2=Input_Tidshorisont,SUM(Materialedata[[#This Row],[C3/m²]:[C4/m²]]),IF(MOD(CQ$2,Materialedata[[#This Row],[Levetid]])=0,SUM(Materialedata[[#This Row],[A1-A3/m²]:[C4/m²]]),0))
))</f>
        <v>.</v>
      </c>
      <c r="CR32" s="141" t="str">
        <f>IF(CR$2&gt;Input_Tidshorisont,BlankTegn,IF(CR$2=0,SUM(Materialedata[[#This Row],[A1-A3/m²]:[A4/m²]]),
CQ32+IF(CR$2=Input_Tidshorisont,SUM(Materialedata[[#This Row],[C3/m²]:[C4/m²]]),IF(MOD(CR$2,Materialedata[[#This Row],[Levetid]])=0,SUM(Materialedata[[#This Row],[A1-A3/m²]:[C4/m²]]),0))
))</f>
        <v>.</v>
      </c>
      <c r="CS32" s="141" t="str">
        <f>IF(CS$2&gt;Input_Tidshorisont,BlankTegn,IF(CS$2=0,SUM(Materialedata[[#This Row],[A1-A3/m²]:[A4/m²]]),
CR32+IF(CS$2=Input_Tidshorisont,SUM(Materialedata[[#This Row],[C3/m²]:[C4/m²]]),IF(MOD(CS$2,Materialedata[[#This Row],[Levetid]])=0,SUM(Materialedata[[#This Row],[A1-A3/m²]:[C4/m²]]),0))
))</f>
        <v>.</v>
      </c>
      <c r="CT32" s="141" t="str">
        <f>IF(CT$2&gt;Input_Tidshorisont,BlankTegn,IF(CT$2=0,SUM(Materialedata[[#This Row],[A1-A3/m²]:[A4/m²]]),
CS32+IF(CT$2=Input_Tidshorisont,SUM(Materialedata[[#This Row],[C3/m²]:[C4/m²]]),IF(MOD(CT$2,Materialedata[[#This Row],[Levetid]])=0,SUM(Materialedata[[#This Row],[A1-A3/m²]:[C4/m²]]),0))
))</f>
        <v>.</v>
      </c>
      <c r="CU32" s="141" t="str">
        <f>IF(CU$2&gt;Input_Tidshorisont,BlankTegn,IF(CU$2=0,SUM(Materialedata[[#This Row],[A1-A3/m²]:[A4/m²]]),
CT32+IF(CU$2=Input_Tidshorisont,SUM(Materialedata[[#This Row],[C3/m²]:[C4/m²]]),IF(MOD(CU$2,Materialedata[[#This Row],[Levetid]])=0,SUM(Materialedata[[#This Row],[A1-A3/m²]:[C4/m²]]),0))
))</f>
        <v>.</v>
      </c>
      <c r="CV32" s="141" t="str">
        <f>IF(CV$2&gt;Input_Tidshorisont,BlankTegn,IF(CV$2=0,SUM(Materialedata[[#This Row],[A1-A3/m²]:[A4/m²]]),
CU32+IF(CV$2=Input_Tidshorisont,SUM(Materialedata[[#This Row],[C3/m²]:[C4/m²]]),IF(MOD(CV$2,Materialedata[[#This Row],[Levetid]])=0,SUM(Materialedata[[#This Row],[A1-A3/m²]:[C4/m²]]),0))
))</f>
        <v>.</v>
      </c>
      <c r="CW32" s="141" t="str">
        <f>IF(CW$2&gt;Input_Tidshorisont,BlankTegn,IF(CW$2=0,SUM(Materialedata[[#This Row],[A1-A3/m²]:[A4/m²]]),
CV32+IF(CW$2=Input_Tidshorisont,SUM(Materialedata[[#This Row],[C3/m²]:[C4/m²]]),IF(MOD(CW$2,Materialedata[[#This Row],[Levetid]])=0,SUM(Materialedata[[#This Row],[A1-A3/m²]:[C4/m²]]),0))
))</f>
        <v>.</v>
      </c>
      <c r="CX32" s="141" t="str">
        <f>IF(CX$2&gt;Input_Tidshorisont,BlankTegn,IF(CX$2=0,SUM(Materialedata[[#This Row],[A1-A3/m²]:[A4/m²]]),
CW32+IF(CX$2=Input_Tidshorisont,SUM(Materialedata[[#This Row],[C3/m²]:[C4/m²]]),IF(MOD(CX$2,Materialedata[[#This Row],[Levetid]])=0,SUM(Materialedata[[#This Row],[A1-A3/m²]:[C4/m²]]),0))
))</f>
        <v>.</v>
      </c>
      <c r="CY32" s="141" t="str">
        <f>IF(CY$2&gt;Input_Tidshorisont,BlankTegn,IF(CY$2=0,SUM(Materialedata[[#This Row],[A1-A3/m²]:[A4/m²]]),
CX32+IF(CY$2=Input_Tidshorisont,SUM(Materialedata[[#This Row],[C3/m²]:[C4/m²]]),IF(MOD(CY$2,Materialedata[[#This Row],[Levetid]])=0,SUM(Materialedata[[#This Row],[A1-A3/m²]:[C4/m²]]),0))
))</f>
        <v>.</v>
      </c>
      <c r="CZ32" s="141" t="str">
        <f>IF(CZ$2&gt;Input_Tidshorisont,BlankTegn,IF(CZ$2=0,SUM(Materialedata[[#This Row],[A1-A3/m²]:[A4/m²]]),
CY32+IF(CZ$2=Input_Tidshorisont,SUM(Materialedata[[#This Row],[C3/m²]:[C4/m²]]),IF(MOD(CZ$2,Materialedata[[#This Row],[Levetid]])=0,SUM(Materialedata[[#This Row],[A1-A3/m²]:[C4/m²]]),0))
))</f>
        <v>.</v>
      </c>
      <c r="DA32" s="141" t="str">
        <f>IF(DA$2&gt;Input_Tidshorisont,BlankTegn,IF(DA$2=0,SUM(Materialedata[[#This Row],[A1-A3/m²]:[A4/m²]]),
CZ32+IF(DA$2=Input_Tidshorisont,SUM(Materialedata[[#This Row],[C3/m²]:[C4/m²]]),IF(MOD(DA$2,Materialedata[[#This Row],[Levetid]])=0,SUM(Materialedata[[#This Row],[A1-A3/m²]:[C4/m²]]),0))
))</f>
        <v>.</v>
      </c>
      <c r="DB32" s="141" t="str">
        <f>IF(DB$2&gt;Input_Tidshorisont,BlankTegn,IF(DB$2=0,SUM(Materialedata[[#This Row],[A1-A3/m²]:[A4/m²]]),
DA32+IF(DB$2=Input_Tidshorisont,SUM(Materialedata[[#This Row],[C3/m²]:[C4/m²]]),IF(MOD(DB$2,Materialedata[[#This Row],[Levetid]])=0,SUM(Materialedata[[#This Row],[A1-A3/m²]:[C4/m²]]),0))
))</f>
        <v>.</v>
      </c>
      <c r="DC32" s="141" t="str">
        <f>IF(DC$2&gt;Input_Tidshorisont,BlankTegn,IF(DC$2=0,SUM(Materialedata[[#This Row],[A1-A3/m²]:[A4/m²]]),
DB32+IF(DC$2=Input_Tidshorisont,SUM(Materialedata[[#This Row],[C3/m²]:[C4/m²]]),IF(MOD(DC$2,Materialedata[[#This Row],[Levetid]])=0,SUM(Materialedata[[#This Row],[A1-A3/m²]:[C4/m²]]),0))
))</f>
        <v>.</v>
      </c>
      <c r="DD32" s="141" t="str">
        <f>IF(DD$2&gt;Input_Tidshorisont,BlankTegn,IF(DD$2=0,SUM(Materialedata[[#This Row],[A1-A3/m²]:[A4/m²]]),
DC32+IF(DD$2=Input_Tidshorisont,SUM(Materialedata[[#This Row],[C3/m²]:[C4/m²]]),IF(MOD(DD$2,Materialedata[[#This Row],[Levetid]])=0,SUM(Materialedata[[#This Row],[A1-A3/m²]:[C4/m²]]),0))
))</f>
        <v>.</v>
      </c>
      <c r="DE32" s="141" t="str">
        <f>IF(DE$2&gt;Input_Tidshorisont,BlankTegn,IF(DE$2=0,SUM(Materialedata[[#This Row],[A1-A3/m²]:[A4/m²]]),
DD32+IF(DE$2=Input_Tidshorisont,SUM(Materialedata[[#This Row],[C3/m²]:[C4/m²]]),IF(MOD(DE$2,Materialedata[[#This Row],[Levetid]])=0,SUM(Materialedata[[#This Row],[A1-A3/m²]:[C4/m²]]),0))
))</f>
        <v>.</v>
      </c>
      <c r="DF32" s="141" t="str">
        <f>IF(DF$2&gt;Input_Tidshorisont,BlankTegn,IF(DF$2=0,SUM(Materialedata[[#This Row],[A1-A3/m²]:[A4/m²]]),
DE32+IF(DF$2=Input_Tidshorisont,SUM(Materialedata[[#This Row],[C3/m²]:[C4/m²]]),IF(MOD(DF$2,Materialedata[[#This Row],[Levetid]])=0,SUM(Materialedata[[#This Row],[A1-A3/m²]:[C4/m²]]),0))
))</f>
        <v>.</v>
      </c>
      <c r="DG32" s="141" t="str">
        <f>IF(DG$2&gt;Input_Tidshorisont,BlankTegn,IF(DG$2=0,SUM(Materialedata[[#This Row],[A1-A3/m²]:[A4/m²]]),
DF32+IF(DG$2=Input_Tidshorisont,SUM(Materialedata[[#This Row],[C3/m²]:[C4/m²]]),IF(MOD(DG$2,Materialedata[[#This Row],[Levetid]])=0,SUM(Materialedata[[#This Row],[A1-A3/m²]:[C4/m²]]),0))
))</f>
        <v>.</v>
      </c>
      <c r="DH32" s="141" t="str">
        <f>IF(DH$2&gt;Input_Tidshorisont,BlankTegn,IF(DH$2=0,SUM(Materialedata[[#This Row],[A1-A3/m²]:[A4/m²]]),
DG32+IF(DH$2=Input_Tidshorisont,SUM(Materialedata[[#This Row],[C3/m²]:[C4/m²]]),IF(MOD(DH$2,Materialedata[[#This Row],[Levetid]])=0,SUM(Materialedata[[#This Row],[A1-A3/m²]:[C4/m²]]),0))
))</f>
        <v>.</v>
      </c>
      <c r="DI32" s="141" t="str">
        <f>IF(DI$2&gt;Input_Tidshorisont,BlankTegn,IF(DI$2=0,SUM(Materialedata[[#This Row],[A1-A3/m²]:[A4/m²]]),
DH32+IF(DI$2=Input_Tidshorisont,SUM(Materialedata[[#This Row],[C3/m²]:[C4/m²]]),IF(MOD(DI$2,Materialedata[[#This Row],[Levetid]])=0,SUM(Materialedata[[#This Row],[A1-A3/m²]:[C4/m²]]),0))
))</f>
        <v>.</v>
      </c>
      <c r="DJ32" s="141" t="str">
        <f>IF(DJ$2&gt;Input_Tidshorisont,BlankTegn,IF(DJ$2=0,SUM(Materialedata[[#This Row],[A1-A3/m²]:[A4/m²]]),
DI32+IF(DJ$2=Input_Tidshorisont,SUM(Materialedata[[#This Row],[C3/m²]:[C4/m²]]),IF(MOD(DJ$2,Materialedata[[#This Row],[Levetid]])=0,SUM(Materialedata[[#This Row],[A1-A3/m²]:[C4/m²]]),0))
))</f>
        <v>.</v>
      </c>
      <c r="DK32" s="141" t="str">
        <f>IF(DK$2&gt;Input_Tidshorisont,BlankTegn,IF(DK$2=0,SUM(Materialedata[[#This Row],[A1-A3/m²]:[A4/m²]]),
DJ32+IF(DK$2=Input_Tidshorisont,SUM(Materialedata[[#This Row],[C3/m²]:[C4/m²]]),IF(MOD(DK$2,Materialedata[[#This Row],[Levetid]])=0,SUM(Materialedata[[#This Row],[A1-A3/m²]:[C4/m²]]),0))
))</f>
        <v>.</v>
      </c>
      <c r="DL32" s="141" t="str">
        <f>IF(DL$2&gt;Input_Tidshorisont,BlankTegn,IF(DL$2=0,SUM(Materialedata[[#This Row],[A1-A3/m²]:[A4/m²]]),
DK32+IF(DL$2=Input_Tidshorisont,SUM(Materialedata[[#This Row],[C3/m²]:[C4/m²]]),IF(MOD(DL$2,Materialedata[[#This Row],[Levetid]])=0,SUM(Materialedata[[#This Row],[A1-A3/m²]:[C4/m²]]),0))
))</f>
        <v>.</v>
      </c>
      <c r="DM32" s="19"/>
    </row>
    <row r="33" spans="1:117">
      <c r="A33" s="182" t="s">
        <v>248</v>
      </c>
      <c r="B33" s="182" t="s">
        <v>173</v>
      </c>
      <c r="C33" s="148" t="s">
        <v>131</v>
      </c>
      <c r="D33" s="184"/>
      <c r="E33" s="180" t="s">
        <v>155</v>
      </c>
      <c r="F33" s="182" t="s">
        <v>156</v>
      </c>
      <c r="G33" s="182">
        <v>60</v>
      </c>
      <c r="H33" s="183">
        <v>30</v>
      </c>
      <c r="I33" s="184">
        <f>0.15*1*1</f>
        <v>0.15</v>
      </c>
      <c r="J33" s="184" t="s">
        <v>232</v>
      </c>
      <c r="K33" s="182">
        <v>0.59</v>
      </c>
      <c r="L33" s="182" t="s">
        <v>221</v>
      </c>
      <c r="M33" s="185">
        <f>IF(ISBLANK(Materialedata[[#This Row],[A4-gruppe]]),BlankTegn,INDEX(Byggeproces[GWP],MATCH(Materialedata[[#This Row],[A4-gruppe]],Byggeproces[Gruppe/Undergruppe],0)))</f>
        <v>1.9599999999999999E-2</v>
      </c>
      <c r="N33" s="182">
        <v>0</v>
      </c>
      <c r="O33" s="182">
        <v>1.7999999999999999E-2</v>
      </c>
      <c r="P33" s="182">
        <v>-2.3199999999999998E-2</v>
      </c>
      <c r="Q33" s="277">
        <f>Materialedata[[#This Row],[A1-A3/standardenhed]]/0.037*0.15</f>
        <v>2.3918918918918917</v>
      </c>
      <c r="R33" s="278" cm="1">
        <f t="array" ref="R33">IFERROR(_xlfn.IFS(Materialedata[[#This Row],[Mængde-enhed]]="kg/m²",Materialedata[[#This Row],[A4/kg]]*Materialedata[[#This Row],[Mængde/m²]],Materialedata[[#This Row],[Mængde-enhed]]="m³/m²",Materialedata[[#This Row],[A4/kg]]*Materialedata[[#This Row],[Mængde/m²]]*Materialedata[[#This Row],[Densitet]]),"N/A")</f>
        <v>8.8200000000000001E-2</v>
      </c>
      <c r="S33" s="277">
        <f>Materialedata[[#This Row],[C3/enhed]]/0.037*0.15</f>
        <v>0</v>
      </c>
      <c r="T33" s="277">
        <f>Materialedata[[#This Row],[C4/enhed]]/0.037*0.15</f>
        <v>7.2972972972972963E-2</v>
      </c>
      <c r="U33" s="277">
        <f>Materialedata[[#This Row],[D/enhed]]/0.037*0.15</f>
        <v>-9.4054054054054051E-2</v>
      </c>
      <c r="V33" s="150">
        <f>IFERROR(INDEX(Range_Materiale_Genbrug,MATCH(Materialedata[[#This Row],[Komponent]],Facadekomponenter,0)),BlankTegn)</f>
        <v>0</v>
      </c>
      <c r="W33" s="150">
        <f>IFERROR(1-Materialedata[[#This Row],[Genbrug]],BlankTegn)</f>
        <v>1</v>
      </c>
      <c r="X33" s="186">
        <f>IFERROR(Materialedata[[#This Row],[A1-A3/m²_nyt]]*Materialedata[[#This Row],[Nyt]],BlankTegn)</f>
        <v>2.3918918918918917</v>
      </c>
      <c r="Y33" s="186">
        <f>Materialedata[[#This Row],[A4/m²_nyt]]</f>
        <v>8.8200000000000001E-2</v>
      </c>
      <c r="Z33" s="186">
        <f>IFERROR(Materialedata[[#This Row],[C3/m²_nyt]]*Materialedata[[#This Row],[Nyt]],BlankTegn)</f>
        <v>0</v>
      </c>
      <c r="AA33" s="186">
        <f>IFERROR(Materialedata[[#This Row],[C4/m²_nyt]]*Materialedata[[#This Row],[Nyt]],BlankTegn)</f>
        <v>7.2972972972972963E-2</v>
      </c>
      <c r="AB33" s="186">
        <f>IFERROR(Materialedata[[#This Row],[D/m²_nyt]]*Materialedata[[#This Row],[Nyt]],BlankTegn)</f>
        <v>-9.4054054054054051E-2</v>
      </c>
      <c r="AC33" s="187">
        <v>133.78</v>
      </c>
      <c r="AD33" s="188" t="s">
        <v>29</v>
      </c>
      <c r="AE33" s="182">
        <v>1</v>
      </c>
      <c r="AF33" s="189">
        <f>Materialedata[[#This Row],[Pris/enhed]]*Materialedata[[#This Row],[Omregning]]</f>
        <v>133.78</v>
      </c>
      <c r="AG33" s="190">
        <v>0.01</v>
      </c>
      <c r="AH33" s="191">
        <v>1</v>
      </c>
      <c r="AI33" s="162">
        <v>0</v>
      </c>
      <c r="AJ33" s="141">
        <f>IF(AJ$2&gt;Input_Tidshorisont,BlankTegn,IF(AJ$2=0,SUM(Materialedata[[#This Row],[A1-A3/m²]:[A4/m²]]),
AI33+IF(AJ$2=Input_Tidshorisont,SUM(Materialedata[[#This Row],[C3/m²]:[C4/m²]]),IF(MOD(AJ$2,Materialedata[[#This Row],[Levetid]])=0,SUM(Materialedata[[#This Row],[A1-A3/m²]:[C4/m²]]),0))
))</f>
        <v>2.4800918918918917</v>
      </c>
      <c r="AK33" s="141">
        <f>IF(AK$2&gt;Input_Tidshorisont,BlankTegn,IF(AK$2=0,SUM(Materialedata[[#This Row],[A1-A3/m²]:[A4/m²]]),
AJ33+IF(AK$2=Input_Tidshorisont,SUM(Materialedata[[#This Row],[C3/m²]:[C4/m²]]),IF(MOD(AK$2,Materialedata[[#This Row],[Levetid]])=0,SUM(Materialedata[[#This Row],[A1-A3/m²]:[C4/m²]]),0))
))</f>
        <v>2.4800918918918917</v>
      </c>
      <c r="AL33" s="141">
        <f>IF(AL$2&gt;Input_Tidshorisont,BlankTegn,IF(AL$2=0,SUM(Materialedata[[#This Row],[A1-A3/m²]:[A4/m²]]),
AK33+IF(AL$2=Input_Tidshorisont,SUM(Materialedata[[#This Row],[C3/m²]:[C4/m²]]),IF(MOD(AL$2,Materialedata[[#This Row],[Levetid]])=0,SUM(Materialedata[[#This Row],[A1-A3/m²]:[C4/m²]]),0))
))</f>
        <v>2.4800918918918917</v>
      </c>
      <c r="AM33" s="141">
        <f>IF(AM$2&gt;Input_Tidshorisont,BlankTegn,IF(AM$2=0,SUM(Materialedata[[#This Row],[A1-A3/m²]:[A4/m²]]),
AL33+IF(AM$2=Input_Tidshorisont,SUM(Materialedata[[#This Row],[C3/m²]:[C4/m²]]),IF(MOD(AM$2,Materialedata[[#This Row],[Levetid]])=0,SUM(Materialedata[[#This Row],[A1-A3/m²]:[C4/m²]]),0))
))</f>
        <v>2.4800918918918917</v>
      </c>
      <c r="AN33" s="141">
        <f>IF(AN$2&gt;Input_Tidshorisont,BlankTegn,IF(AN$2=0,SUM(Materialedata[[#This Row],[A1-A3/m²]:[A4/m²]]),
AM33+IF(AN$2=Input_Tidshorisont,SUM(Materialedata[[#This Row],[C3/m²]:[C4/m²]]),IF(MOD(AN$2,Materialedata[[#This Row],[Levetid]])=0,SUM(Materialedata[[#This Row],[A1-A3/m²]:[C4/m²]]),0))
))</f>
        <v>2.4800918918918917</v>
      </c>
      <c r="AO33" s="141">
        <f>IF(AO$2&gt;Input_Tidshorisont,BlankTegn,IF(AO$2=0,SUM(Materialedata[[#This Row],[A1-A3/m²]:[A4/m²]]),
AN33+IF(AO$2=Input_Tidshorisont,SUM(Materialedata[[#This Row],[C3/m²]:[C4/m²]]),IF(MOD(AO$2,Materialedata[[#This Row],[Levetid]])=0,SUM(Materialedata[[#This Row],[A1-A3/m²]:[C4/m²]]),0))
))</f>
        <v>2.4800918918918917</v>
      </c>
      <c r="AP33" s="141">
        <f>IF(AP$2&gt;Input_Tidshorisont,BlankTegn,IF(AP$2=0,SUM(Materialedata[[#This Row],[A1-A3/m²]:[A4/m²]]),
AO33+IF(AP$2=Input_Tidshorisont,SUM(Materialedata[[#This Row],[C3/m²]:[C4/m²]]),IF(MOD(AP$2,Materialedata[[#This Row],[Levetid]])=0,SUM(Materialedata[[#This Row],[A1-A3/m²]:[C4/m²]]),0))
))</f>
        <v>2.4800918918918917</v>
      </c>
      <c r="AQ33" s="141">
        <f>IF(AQ$2&gt;Input_Tidshorisont,BlankTegn,IF(AQ$2=0,SUM(Materialedata[[#This Row],[A1-A3/m²]:[A4/m²]]),
AP33+IF(AQ$2=Input_Tidshorisont,SUM(Materialedata[[#This Row],[C3/m²]:[C4/m²]]),IF(MOD(AQ$2,Materialedata[[#This Row],[Levetid]])=0,SUM(Materialedata[[#This Row],[A1-A3/m²]:[C4/m²]]),0))
))</f>
        <v>2.4800918918918917</v>
      </c>
      <c r="AR33" s="141">
        <f>IF(AR$2&gt;Input_Tidshorisont,BlankTegn,IF(AR$2=0,SUM(Materialedata[[#This Row],[A1-A3/m²]:[A4/m²]]),
AQ33+IF(AR$2=Input_Tidshorisont,SUM(Materialedata[[#This Row],[C3/m²]:[C4/m²]]),IF(MOD(AR$2,Materialedata[[#This Row],[Levetid]])=0,SUM(Materialedata[[#This Row],[A1-A3/m²]:[C4/m²]]),0))
))</f>
        <v>2.4800918918918917</v>
      </c>
      <c r="AS33" s="141">
        <f>IF(AS$2&gt;Input_Tidshorisont,BlankTegn,IF(AS$2=0,SUM(Materialedata[[#This Row],[A1-A3/m²]:[A4/m²]]),
AR33+IF(AS$2=Input_Tidshorisont,SUM(Materialedata[[#This Row],[C3/m²]:[C4/m²]]),IF(MOD(AS$2,Materialedata[[#This Row],[Levetid]])=0,SUM(Materialedata[[#This Row],[A1-A3/m²]:[C4/m²]]),0))
))</f>
        <v>2.4800918918918917</v>
      </c>
      <c r="AT33" s="141">
        <f>IF(AT$2&gt;Input_Tidshorisont,BlankTegn,IF(AT$2=0,SUM(Materialedata[[#This Row],[A1-A3/m²]:[A4/m²]]),
AS33+IF(AT$2=Input_Tidshorisont,SUM(Materialedata[[#This Row],[C3/m²]:[C4/m²]]),IF(MOD(AT$2,Materialedata[[#This Row],[Levetid]])=0,SUM(Materialedata[[#This Row],[A1-A3/m²]:[C4/m²]]),0))
))</f>
        <v>2.4800918918918917</v>
      </c>
      <c r="AU33" s="141">
        <f>IF(AU$2&gt;Input_Tidshorisont,BlankTegn,IF(AU$2=0,SUM(Materialedata[[#This Row],[A1-A3/m²]:[A4/m²]]),
AT33+IF(AU$2=Input_Tidshorisont,SUM(Materialedata[[#This Row],[C3/m²]:[C4/m²]]),IF(MOD(AU$2,Materialedata[[#This Row],[Levetid]])=0,SUM(Materialedata[[#This Row],[A1-A3/m²]:[C4/m²]]),0))
))</f>
        <v>2.4800918918918917</v>
      </c>
      <c r="AV33" s="141">
        <f>IF(AV$2&gt;Input_Tidshorisont,BlankTegn,IF(AV$2=0,SUM(Materialedata[[#This Row],[A1-A3/m²]:[A4/m²]]),
AU33+IF(AV$2=Input_Tidshorisont,SUM(Materialedata[[#This Row],[C3/m²]:[C4/m²]]),IF(MOD(AV$2,Materialedata[[#This Row],[Levetid]])=0,SUM(Materialedata[[#This Row],[A1-A3/m²]:[C4/m²]]),0))
))</f>
        <v>2.4800918918918917</v>
      </c>
      <c r="AW33" s="141">
        <f>IF(AW$2&gt;Input_Tidshorisont,BlankTegn,IF(AW$2=0,SUM(Materialedata[[#This Row],[A1-A3/m²]:[A4/m²]]),
AV33+IF(AW$2=Input_Tidshorisont,SUM(Materialedata[[#This Row],[C3/m²]:[C4/m²]]),IF(MOD(AW$2,Materialedata[[#This Row],[Levetid]])=0,SUM(Materialedata[[#This Row],[A1-A3/m²]:[C4/m²]]),0))
))</f>
        <v>2.4800918918918917</v>
      </c>
      <c r="AX33" s="141">
        <f>IF(AX$2&gt;Input_Tidshorisont,BlankTegn,IF(AX$2=0,SUM(Materialedata[[#This Row],[A1-A3/m²]:[A4/m²]]),
AW33+IF(AX$2=Input_Tidshorisont,SUM(Materialedata[[#This Row],[C3/m²]:[C4/m²]]),IF(MOD(AX$2,Materialedata[[#This Row],[Levetid]])=0,SUM(Materialedata[[#This Row],[A1-A3/m²]:[C4/m²]]),0))
))</f>
        <v>2.4800918918918917</v>
      </c>
      <c r="AY33" s="141">
        <f>IF(AY$2&gt;Input_Tidshorisont,BlankTegn,IF(AY$2=0,SUM(Materialedata[[#This Row],[A1-A3/m²]:[A4/m²]]),
AX33+IF(AY$2=Input_Tidshorisont,SUM(Materialedata[[#This Row],[C3/m²]:[C4/m²]]),IF(MOD(AY$2,Materialedata[[#This Row],[Levetid]])=0,SUM(Materialedata[[#This Row],[A1-A3/m²]:[C4/m²]]),0))
))</f>
        <v>2.4800918918918917</v>
      </c>
      <c r="AZ33" s="141">
        <f>IF(AZ$2&gt;Input_Tidshorisont,BlankTegn,IF(AZ$2=0,SUM(Materialedata[[#This Row],[A1-A3/m²]:[A4/m²]]),
AY33+IF(AZ$2=Input_Tidshorisont,SUM(Materialedata[[#This Row],[C3/m²]:[C4/m²]]),IF(MOD(AZ$2,Materialedata[[#This Row],[Levetid]])=0,SUM(Materialedata[[#This Row],[A1-A3/m²]:[C4/m²]]),0))
))</f>
        <v>2.4800918918918917</v>
      </c>
      <c r="BA33" s="141">
        <f>IF(BA$2&gt;Input_Tidshorisont,BlankTegn,IF(BA$2=0,SUM(Materialedata[[#This Row],[A1-A3/m²]:[A4/m²]]),
AZ33+IF(BA$2=Input_Tidshorisont,SUM(Materialedata[[#This Row],[C3/m²]:[C4/m²]]),IF(MOD(BA$2,Materialedata[[#This Row],[Levetid]])=0,SUM(Materialedata[[#This Row],[A1-A3/m²]:[C4/m²]]),0))
))</f>
        <v>2.4800918918918917</v>
      </c>
      <c r="BB33" s="141">
        <f>IF(BB$2&gt;Input_Tidshorisont,BlankTegn,IF(BB$2=0,SUM(Materialedata[[#This Row],[A1-A3/m²]:[A4/m²]]),
BA33+IF(BB$2=Input_Tidshorisont,SUM(Materialedata[[#This Row],[C3/m²]:[C4/m²]]),IF(MOD(BB$2,Materialedata[[#This Row],[Levetid]])=0,SUM(Materialedata[[#This Row],[A1-A3/m²]:[C4/m²]]),0))
))</f>
        <v>2.4800918918918917</v>
      </c>
      <c r="BC33" s="141">
        <f>IF(BC$2&gt;Input_Tidshorisont,BlankTegn,IF(BC$2=0,SUM(Materialedata[[#This Row],[A1-A3/m²]:[A4/m²]]),
BB33+IF(BC$2=Input_Tidshorisont,SUM(Materialedata[[#This Row],[C3/m²]:[C4/m²]]),IF(MOD(BC$2,Materialedata[[#This Row],[Levetid]])=0,SUM(Materialedata[[#This Row],[A1-A3/m²]:[C4/m²]]),0))
))</f>
        <v>2.4800918918918917</v>
      </c>
      <c r="BD33" s="141">
        <f>IF(BD$2&gt;Input_Tidshorisont,BlankTegn,IF(BD$2=0,SUM(Materialedata[[#This Row],[A1-A3/m²]:[A4/m²]]),
BC33+IF(BD$2=Input_Tidshorisont,SUM(Materialedata[[#This Row],[C3/m²]:[C4/m²]]),IF(MOD(BD$2,Materialedata[[#This Row],[Levetid]])=0,SUM(Materialedata[[#This Row],[A1-A3/m²]:[C4/m²]]),0))
))</f>
        <v>2.4800918918918917</v>
      </c>
      <c r="BE33" s="141">
        <f>IF(BE$2&gt;Input_Tidshorisont,BlankTegn,IF(BE$2=0,SUM(Materialedata[[#This Row],[A1-A3/m²]:[A4/m²]]),
BD33+IF(BE$2=Input_Tidshorisont,SUM(Materialedata[[#This Row],[C3/m²]:[C4/m²]]),IF(MOD(BE$2,Materialedata[[#This Row],[Levetid]])=0,SUM(Materialedata[[#This Row],[A1-A3/m²]:[C4/m²]]),0))
))</f>
        <v>2.4800918918918917</v>
      </c>
      <c r="BF33" s="141">
        <f>IF(BF$2&gt;Input_Tidshorisont,BlankTegn,IF(BF$2=0,SUM(Materialedata[[#This Row],[A1-A3/m²]:[A4/m²]]),
BE33+IF(BF$2=Input_Tidshorisont,SUM(Materialedata[[#This Row],[C3/m²]:[C4/m²]]),IF(MOD(BF$2,Materialedata[[#This Row],[Levetid]])=0,SUM(Materialedata[[#This Row],[A1-A3/m²]:[C4/m²]]),0))
))</f>
        <v>2.4800918918918917</v>
      </c>
      <c r="BG33" s="141">
        <f>IF(BG$2&gt;Input_Tidshorisont,BlankTegn,IF(BG$2=0,SUM(Materialedata[[#This Row],[A1-A3/m²]:[A4/m²]]),
BF33+IF(BG$2=Input_Tidshorisont,SUM(Materialedata[[#This Row],[C3/m²]:[C4/m²]]),IF(MOD(BG$2,Materialedata[[#This Row],[Levetid]])=0,SUM(Materialedata[[#This Row],[A1-A3/m²]:[C4/m²]]),0))
))</f>
        <v>2.4800918918918917</v>
      </c>
      <c r="BH33" s="141">
        <f>IF(BH$2&gt;Input_Tidshorisont,BlankTegn,IF(BH$2=0,SUM(Materialedata[[#This Row],[A1-A3/m²]:[A4/m²]]),
BG33+IF(BH$2=Input_Tidshorisont,SUM(Materialedata[[#This Row],[C3/m²]:[C4/m²]]),IF(MOD(BH$2,Materialedata[[#This Row],[Levetid]])=0,SUM(Materialedata[[#This Row],[A1-A3/m²]:[C4/m²]]),0))
))</f>
        <v>2.4800918918918917</v>
      </c>
      <c r="BI33" s="141">
        <f>IF(BI$2&gt;Input_Tidshorisont,BlankTegn,IF(BI$2=0,SUM(Materialedata[[#This Row],[A1-A3/m²]:[A4/m²]]),
BH33+IF(BI$2=Input_Tidshorisont,SUM(Materialedata[[#This Row],[C3/m²]:[C4/m²]]),IF(MOD(BI$2,Materialedata[[#This Row],[Levetid]])=0,SUM(Materialedata[[#This Row],[A1-A3/m²]:[C4/m²]]),0))
))</f>
        <v>2.4800918918918917</v>
      </c>
      <c r="BJ33" s="141">
        <f>IF(BJ$2&gt;Input_Tidshorisont,BlankTegn,IF(BJ$2=0,SUM(Materialedata[[#This Row],[A1-A3/m²]:[A4/m²]]),
BI33+IF(BJ$2=Input_Tidshorisont,SUM(Materialedata[[#This Row],[C3/m²]:[C4/m²]]),IF(MOD(BJ$2,Materialedata[[#This Row],[Levetid]])=0,SUM(Materialedata[[#This Row],[A1-A3/m²]:[C4/m²]]),0))
))</f>
        <v>2.4800918918918917</v>
      </c>
      <c r="BK33" s="141">
        <f>IF(BK$2&gt;Input_Tidshorisont,BlankTegn,IF(BK$2=0,SUM(Materialedata[[#This Row],[A1-A3/m²]:[A4/m²]]),
BJ33+IF(BK$2=Input_Tidshorisont,SUM(Materialedata[[#This Row],[C3/m²]:[C4/m²]]),IF(MOD(BK$2,Materialedata[[#This Row],[Levetid]])=0,SUM(Materialedata[[#This Row],[A1-A3/m²]:[C4/m²]]),0))
))</f>
        <v>2.4800918918918917</v>
      </c>
      <c r="BL33" s="141">
        <f>IF(BL$2&gt;Input_Tidshorisont,BlankTegn,IF(BL$2=0,SUM(Materialedata[[#This Row],[A1-A3/m²]:[A4/m²]]),
BK33+IF(BL$2=Input_Tidshorisont,SUM(Materialedata[[#This Row],[C3/m²]:[C4/m²]]),IF(MOD(BL$2,Materialedata[[#This Row],[Levetid]])=0,SUM(Materialedata[[#This Row],[A1-A3/m²]:[C4/m²]]),0))
))</f>
        <v>2.4800918918918917</v>
      </c>
      <c r="BM33" s="141">
        <f>IF(BM$2&gt;Input_Tidshorisont,BlankTegn,IF(BM$2=0,SUM(Materialedata[[#This Row],[A1-A3/m²]:[A4/m²]]),
BL33+IF(BM$2=Input_Tidshorisont,SUM(Materialedata[[#This Row],[C3/m²]:[C4/m²]]),IF(MOD(BM$2,Materialedata[[#This Row],[Levetid]])=0,SUM(Materialedata[[#This Row],[A1-A3/m²]:[C4/m²]]),0))
))</f>
        <v>2.4800918918918917</v>
      </c>
      <c r="BN33" s="141">
        <f>IF(BN$2&gt;Input_Tidshorisont,BlankTegn,IF(BN$2=0,SUM(Materialedata[[#This Row],[A1-A3/m²]:[A4/m²]]),
BM33+IF(BN$2=Input_Tidshorisont,SUM(Materialedata[[#This Row],[C3/m²]:[C4/m²]]),IF(MOD(BN$2,Materialedata[[#This Row],[Levetid]])=0,SUM(Materialedata[[#This Row],[A1-A3/m²]:[C4/m²]]),0))
))</f>
        <v>2.4800918918918917</v>
      </c>
      <c r="BO33" s="141">
        <f>IF(BO$2&gt;Input_Tidshorisont,BlankTegn,IF(BO$2=0,SUM(Materialedata[[#This Row],[A1-A3/m²]:[A4/m²]]),
BN33+IF(BO$2=Input_Tidshorisont,SUM(Materialedata[[#This Row],[C3/m²]:[C4/m²]]),IF(MOD(BO$2,Materialedata[[#This Row],[Levetid]])=0,SUM(Materialedata[[#This Row],[A1-A3/m²]:[C4/m²]]),0))
))</f>
        <v>2.4800918918918917</v>
      </c>
      <c r="BP33" s="141">
        <f>IF(BP$2&gt;Input_Tidshorisont,BlankTegn,IF(BP$2=0,SUM(Materialedata[[#This Row],[A1-A3/m²]:[A4/m²]]),
BO33+IF(BP$2=Input_Tidshorisont,SUM(Materialedata[[#This Row],[C3/m²]:[C4/m²]]),IF(MOD(BP$2,Materialedata[[#This Row],[Levetid]])=0,SUM(Materialedata[[#This Row],[A1-A3/m²]:[C4/m²]]),0))
))</f>
        <v>2.4800918918918917</v>
      </c>
      <c r="BQ33" s="141">
        <f>IF(BQ$2&gt;Input_Tidshorisont,BlankTegn,IF(BQ$2=0,SUM(Materialedata[[#This Row],[A1-A3/m²]:[A4/m²]]),
BP33+IF(BQ$2=Input_Tidshorisont,SUM(Materialedata[[#This Row],[C3/m²]:[C4/m²]]),IF(MOD(BQ$2,Materialedata[[#This Row],[Levetid]])=0,SUM(Materialedata[[#This Row],[A1-A3/m²]:[C4/m²]]),0))
))</f>
        <v>2.4800918918918917</v>
      </c>
      <c r="BR33" s="141">
        <f>IF(BR$2&gt;Input_Tidshorisont,BlankTegn,IF(BR$2=0,SUM(Materialedata[[#This Row],[A1-A3/m²]:[A4/m²]]),
BQ33+IF(BR$2=Input_Tidshorisont,SUM(Materialedata[[#This Row],[C3/m²]:[C4/m²]]),IF(MOD(BR$2,Materialedata[[#This Row],[Levetid]])=0,SUM(Materialedata[[#This Row],[A1-A3/m²]:[C4/m²]]),0))
))</f>
        <v>2.4800918918918917</v>
      </c>
      <c r="BS33" s="141">
        <f>IF(BS$2&gt;Input_Tidshorisont,BlankTegn,IF(BS$2=0,SUM(Materialedata[[#This Row],[A1-A3/m²]:[A4/m²]]),
BR33+IF(BS$2=Input_Tidshorisont,SUM(Materialedata[[#This Row],[C3/m²]:[C4/m²]]),IF(MOD(BS$2,Materialedata[[#This Row],[Levetid]])=0,SUM(Materialedata[[#This Row],[A1-A3/m²]:[C4/m²]]),0))
))</f>
        <v>2.4800918918918917</v>
      </c>
      <c r="BT33" s="141">
        <f>IF(BT$2&gt;Input_Tidshorisont,BlankTegn,IF(BT$2=0,SUM(Materialedata[[#This Row],[A1-A3/m²]:[A4/m²]]),
BS33+IF(BT$2=Input_Tidshorisont,SUM(Materialedata[[#This Row],[C3/m²]:[C4/m²]]),IF(MOD(BT$2,Materialedata[[#This Row],[Levetid]])=0,SUM(Materialedata[[#This Row],[A1-A3/m²]:[C4/m²]]),0))
))</f>
        <v>2.4800918918918917</v>
      </c>
      <c r="BU33" s="141">
        <f>IF(BU$2&gt;Input_Tidshorisont,BlankTegn,IF(BU$2=0,SUM(Materialedata[[#This Row],[A1-A3/m²]:[A4/m²]]),
BT33+IF(BU$2=Input_Tidshorisont,SUM(Materialedata[[#This Row],[C3/m²]:[C4/m²]]),IF(MOD(BU$2,Materialedata[[#This Row],[Levetid]])=0,SUM(Materialedata[[#This Row],[A1-A3/m²]:[C4/m²]]),0))
))</f>
        <v>2.4800918918918917</v>
      </c>
      <c r="BV33" s="141">
        <f>IF(BV$2&gt;Input_Tidshorisont,BlankTegn,IF(BV$2=0,SUM(Materialedata[[#This Row],[A1-A3/m²]:[A4/m²]]),
BU33+IF(BV$2=Input_Tidshorisont,SUM(Materialedata[[#This Row],[C3/m²]:[C4/m²]]),IF(MOD(BV$2,Materialedata[[#This Row],[Levetid]])=0,SUM(Materialedata[[#This Row],[A1-A3/m²]:[C4/m²]]),0))
))</f>
        <v>2.4800918918918917</v>
      </c>
      <c r="BW33" s="141">
        <f>IF(BW$2&gt;Input_Tidshorisont,BlankTegn,IF(BW$2=0,SUM(Materialedata[[#This Row],[A1-A3/m²]:[A4/m²]]),
BV33+IF(BW$2=Input_Tidshorisont,SUM(Materialedata[[#This Row],[C3/m²]:[C4/m²]]),IF(MOD(BW$2,Materialedata[[#This Row],[Levetid]])=0,SUM(Materialedata[[#This Row],[A1-A3/m²]:[C4/m²]]),0))
))</f>
        <v>2.4800918918918917</v>
      </c>
      <c r="BX33" s="141">
        <f>IF(BX$2&gt;Input_Tidshorisont,BlankTegn,IF(BX$2=0,SUM(Materialedata[[#This Row],[A1-A3/m²]:[A4/m²]]),
BW33+IF(BX$2=Input_Tidshorisont,SUM(Materialedata[[#This Row],[C3/m²]:[C4/m²]]),IF(MOD(BX$2,Materialedata[[#This Row],[Levetid]])=0,SUM(Materialedata[[#This Row],[A1-A3/m²]:[C4/m²]]),0))
))</f>
        <v>2.4800918918918917</v>
      </c>
      <c r="BY33" s="141">
        <f>IF(BY$2&gt;Input_Tidshorisont,BlankTegn,IF(BY$2=0,SUM(Materialedata[[#This Row],[A1-A3/m²]:[A4/m²]]),
BX33+IF(BY$2=Input_Tidshorisont,SUM(Materialedata[[#This Row],[C3/m²]:[C4/m²]]),IF(MOD(BY$2,Materialedata[[#This Row],[Levetid]])=0,SUM(Materialedata[[#This Row],[A1-A3/m²]:[C4/m²]]),0))
))</f>
        <v>2.4800918918918917</v>
      </c>
      <c r="BZ33" s="141">
        <f>IF(BZ$2&gt;Input_Tidshorisont,BlankTegn,IF(BZ$2=0,SUM(Materialedata[[#This Row],[A1-A3/m²]:[A4/m²]]),
BY33+IF(BZ$2=Input_Tidshorisont,SUM(Materialedata[[#This Row],[C3/m²]:[C4/m²]]),IF(MOD(BZ$2,Materialedata[[#This Row],[Levetid]])=0,SUM(Materialedata[[#This Row],[A1-A3/m²]:[C4/m²]]),0))
))</f>
        <v>2.4800918918918917</v>
      </c>
      <c r="CA33" s="141">
        <f>IF(CA$2&gt;Input_Tidshorisont,BlankTegn,IF(CA$2=0,SUM(Materialedata[[#This Row],[A1-A3/m²]:[A4/m²]]),
BZ33+IF(CA$2=Input_Tidshorisont,SUM(Materialedata[[#This Row],[C3/m²]:[C4/m²]]),IF(MOD(CA$2,Materialedata[[#This Row],[Levetid]])=0,SUM(Materialedata[[#This Row],[A1-A3/m²]:[C4/m²]]),0))
))</f>
        <v>2.4800918918918917</v>
      </c>
      <c r="CB33" s="141">
        <f>IF(CB$2&gt;Input_Tidshorisont,BlankTegn,IF(CB$2=0,SUM(Materialedata[[#This Row],[A1-A3/m²]:[A4/m²]]),
CA33+IF(CB$2=Input_Tidshorisont,SUM(Materialedata[[#This Row],[C3/m²]:[C4/m²]]),IF(MOD(CB$2,Materialedata[[#This Row],[Levetid]])=0,SUM(Materialedata[[#This Row],[A1-A3/m²]:[C4/m²]]),0))
))</f>
        <v>2.4800918918918917</v>
      </c>
      <c r="CC33" s="141">
        <f>IF(CC$2&gt;Input_Tidshorisont,BlankTegn,IF(CC$2=0,SUM(Materialedata[[#This Row],[A1-A3/m²]:[A4/m²]]),
CB33+IF(CC$2=Input_Tidshorisont,SUM(Materialedata[[#This Row],[C3/m²]:[C4/m²]]),IF(MOD(CC$2,Materialedata[[#This Row],[Levetid]])=0,SUM(Materialedata[[#This Row],[A1-A3/m²]:[C4/m²]]),0))
))</f>
        <v>2.4800918918918917</v>
      </c>
      <c r="CD33" s="141">
        <f>IF(CD$2&gt;Input_Tidshorisont,BlankTegn,IF(CD$2=0,SUM(Materialedata[[#This Row],[A1-A3/m²]:[A4/m²]]),
CC33+IF(CD$2=Input_Tidshorisont,SUM(Materialedata[[#This Row],[C3/m²]:[C4/m²]]),IF(MOD(CD$2,Materialedata[[#This Row],[Levetid]])=0,SUM(Materialedata[[#This Row],[A1-A3/m²]:[C4/m²]]),0))
))</f>
        <v>2.4800918918918917</v>
      </c>
      <c r="CE33" s="141">
        <f>IF(CE$2&gt;Input_Tidshorisont,BlankTegn,IF(CE$2=0,SUM(Materialedata[[#This Row],[A1-A3/m²]:[A4/m²]]),
CD33+IF(CE$2=Input_Tidshorisont,SUM(Materialedata[[#This Row],[C3/m²]:[C4/m²]]),IF(MOD(CE$2,Materialedata[[#This Row],[Levetid]])=0,SUM(Materialedata[[#This Row],[A1-A3/m²]:[C4/m²]]),0))
))</f>
        <v>2.4800918918918917</v>
      </c>
      <c r="CF33" s="141">
        <f>IF(CF$2&gt;Input_Tidshorisont,BlankTegn,IF(CF$2=0,SUM(Materialedata[[#This Row],[A1-A3/m²]:[A4/m²]]),
CE33+IF(CF$2=Input_Tidshorisont,SUM(Materialedata[[#This Row],[C3/m²]:[C4/m²]]),IF(MOD(CF$2,Materialedata[[#This Row],[Levetid]])=0,SUM(Materialedata[[#This Row],[A1-A3/m²]:[C4/m²]]),0))
))</f>
        <v>2.4800918918918917</v>
      </c>
      <c r="CG33" s="141">
        <f>IF(CG$2&gt;Input_Tidshorisont,BlankTegn,IF(CG$2=0,SUM(Materialedata[[#This Row],[A1-A3/m²]:[A4/m²]]),
CF33+IF(CG$2=Input_Tidshorisont,SUM(Materialedata[[#This Row],[C3/m²]:[C4/m²]]),IF(MOD(CG$2,Materialedata[[#This Row],[Levetid]])=0,SUM(Materialedata[[#This Row],[A1-A3/m²]:[C4/m²]]),0))
))</f>
        <v>2.4800918918918917</v>
      </c>
      <c r="CH33" s="141">
        <f>IF(CH$2&gt;Input_Tidshorisont,BlankTegn,IF(CH$2=0,SUM(Materialedata[[#This Row],[A1-A3/m²]:[A4/m²]]),
CG33+IF(CH$2=Input_Tidshorisont,SUM(Materialedata[[#This Row],[C3/m²]:[C4/m²]]),IF(MOD(CH$2,Materialedata[[#This Row],[Levetid]])=0,SUM(Materialedata[[#This Row],[A1-A3/m²]:[C4/m²]]),0))
))</f>
        <v>2.5530648648648646</v>
      </c>
      <c r="CI33" s="141" t="str">
        <f>IF(CI$2&gt;Input_Tidshorisont,BlankTegn,IF(CI$2=0,SUM(Materialedata[[#This Row],[A1-A3/m²]:[A4/m²]]),
CH33+IF(CI$2=Input_Tidshorisont,SUM(Materialedata[[#This Row],[C3/m²]:[C4/m²]]),IF(MOD(CI$2,Materialedata[[#This Row],[Levetid]])=0,SUM(Materialedata[[#This Row],[A1-A3/m²]:[C4/m²]]),0))
))</f>
        <v>.</v>
      </c>
      <c r="CJ33" s="141" t="str">
        <f>IF(CJ$2&gt;Input_Tidshorisont,BlankTegn,IF(CJ$2=0,SUM(Materialedata[[#This Row],[A1-A3/m²]:[A4/m²]]),
CI33+IF(CJ$2=Input_Tidshorisont,SUM(Materialedata[[#This Row],[C3/m²]:[C4/m²]]),IF(MOD(CJ$2,Materialedata[[#This Row],[Levetid]])=0,SUM(Materialedata[[#This Row],[A1-A3/m²]:[C4/m²]]),0))
))</f>
        <v>.</v>
      </c>
      <c r="CK33" s="141" t="str">
        <f>IF(CK$2&gt;Input_Tidshorisont,BlankTegn,IF(CK$2=0,SUM(Materialedata[[#This Row],[A1-A3/m²]:[A4/m²]]),
CJ33+IF(CK$2=Input_Tidshorisont,SUM(Materialedata[[#This Row],[C3/m²]:[C4/m²]]),IF(MOD(CK$2,Materialedata[[#This Row],[Levetid]])=0,SUM(Materialedata[[#This Row],[A1-A3/m²]:[C4/m²]]),0))
))</f>
        <v>.</v>
      </c>
      <c r="CL33" s="141" t="str">
        <f>IF(CL$2&gt;Input_Tidshorisont,BlankTegn,IF(CL$2=0,SUM(Materialedata[[#This Row],[A1-A3/m²]:[A4/m²]]),
CK33+IF(CL$2=Input_Tidshorisont,SUM(Materialedata[[#This Row],[C3/m²]:[C4/m²]]),IF(MOD(CL$2,Materialedata[[#This Row],[Levetid]])=0,SUM(Materialedata[[#This Row],[A1-A3/m²]:[C4/m²]]),0))
))</f>
        <v>.</v>
      </c>
      <c r="CM33" s="141" t="str">
        <f>IF(CM$2&gt;Input_Tidshorisont,BlankTegn,IF(CM$2=0,SUM(Materialedata[[#This Row],[A1-A3/m²]:[A4/m²]]),
CL33+IF(CM$2=Input_Tidshorisont,SUM(Materialedata[[#This Row],[C3/m²]:[C4/m²]]),IF(MOD(CM$2,Materialedata[[#This Row],[Levetid]])=0,SUM(Materialedata[[#This Row],[A1-A3/m²]:[C4/m²]]),0))
))</f>
        <v>.</v>
      </c>
      <c r="CN33" s="141" t="str">
        <f>IF(CN$2&gt;Input_Tidshorisont,BlankTegn,IF(CN$2=0,SUM(Materialedata[[#This Row],[A1-A3/m²]:[A4/m²]]),
CM33+IF(CN$2=Input_Tidshorisont,SUM(Materialedata[[#This Row],[C3/m²]:[C4/m²]]),IF(MOD(CN$2,Materialedata[[#This Row],[Levetid]])=0,SUM(Materialedata[[#This Row],[A1-A3/m²]:[C4/m²]]),0))
))</f>
        <v>.</v>
      </c>
      <c r="CO33" s="141" t="str">
        <f>IF(CO$2&gt;Input_Tidshorisont,BlankTegn,IF(CO$2=0,SUM(Materialedata[[#This Row],[A1-A3/m²]:[A4/m²]]),
CN33+IF(CO$2=Input_Tidshorisont,SUM(Materialedata[[#This Row],[C3/m²]:[C4/m²]]),IF(MOD(CO$2,Materialedata[[#This Row],[Levetid]])=0,SUM(Materialedata[[#This Row],[A1-A3/m²]:[C4/m²]]),0))
))</f>
        <v>.</v>
      </c>
      <c r="CP33" s="141" t="str">
        <f>IF(CP$2&gt;Input_Tidshorisont,BlankTegn,IF(CP$2=0,SUM(Materialedata[[#This Row],[A1-A3/m²]:[A4/m²]]),
CO33+IF(CP$2=Input_Tidshorisont,SUM(Materialedata[[#This Row],[C3/m²]:[C4/m²]]),IF(MOD(CP$2,Materialedata[[#This Row],[Levetid]])=0,SUM(Materialedata[[#This Row],[A1-A3/m²]:[C4/m²]]),0))
))</f>
        <v>.</v>
      </c>
      <c r="CQ33" s="141" t="str">
        <f>IF(CQ$2&gt;Input_Tidshorisont,BlankTegn,IF(CQ$2=0,SUM(Materialedata[[#This Row],[A1-A3/m²]:[A4/m²]]),
CP33+IF(CQ$2=Input_Tidshorisont,SUM(Materialedata[[#This Row],[C3/m²]:[C4/m²]]),IF(MOD(CQ$2,Materialedata[[#This Row],[Levetid]])=0,SUM(Materialedata[[#This Row],[A1-A3/m²]:[C4/m²]]),0))
))</f>
        <v>.</v>
      </c>
      <c r="CR33" s="141" t="str">
        <f>IF(CR$2&gt;Input_Tidshorisont,BlankTegn,IF(CR$2=0,SUM(Materialedata[[#This Row],[A1-A3/m²]:[A4/m²]]),
CQ33+IF(CR$2=Input_Tidshorisont,SUM(Materialedata[[#This Row],[C3/m²]:[C4/m²]]),IF(MOD(CR$2,Materialedata[[#This Row],[Levetid]])=0,SUM(Materialedata[[#This Row],[A1-A3/m²]:[C4/m²]]),0))
))</f>
        <v>.</v>
      </c>
      <c r="CS33" s="141" t="str">
        <f>IF(CS$2&gt;Input_Tidshorisont,BlankTegn,IF(CS$2=0,SUM(Materialedata[[#This Row],[A1-A3/m²]:[A4/m²]]),
CR33+IF(CS$2=Input_Tidshorisont,SUM(Materialedata[[#This Row],[C3/m²]:[C4/m²]]),IF(MOD(CS$2,Materialedata[[#This Row],[Levetid]])=0,SUM(Materialedata[[#This Row],[A1-A3/m²]:[C4/m²]]),0))
))</f>
        <v>.</v>
      </c>
      <c r="CT33" s="141" t="str">
        <f>IF(CT$2&gt;Input_Tidshorisont,BlankTegn,IF(CT$2=0,SUM(Materialedata[[#This Row],[A1-A3/m²]:[A4/m²]]),
CS33+IF(CT$2=Input_Tidshorisont,SUM(Materialedata[[#This Row],[C3/m²]:[C4/m²]]),IF(MOD(CT$2,Materialedata[[#This Row],[Levetid]])=0,SUM(Materialedata[[#This Row],[A1-A3/m²]:[C4/m²]]),0))
))</f>
        <v>.</v>
      </c>
      <c r="CU33" s="141" t="str">
        <f>IF(CU$2&gt;Input_Tidshorisont,BlankTegn,IF(CU$2=0,SUM(Materialedata[[#This Row],[A1-A3/m²]:[A4/m²]]),
CT33+IF(CU$2=Input_Tidshorisont,SUM(Materialedata[[#This Row],[C3/m²]:[C4/m²]]),IF(MOD(CU$2,Materialedata[[#This Row],[Levetid]])=0,SUM(Materialedata[[#This Row],[A1-A3/m²]:[C4/m²]]),0))
))</f>
        <v>.</v>
      </c>
      <c r="CV33" s="141" t="str">
        <f>IF(CV$2&gt;Input_Tidshorisont,BlankTegn,IF(CV$2=0,SUM(Materialedata[[#This Row],[A1-A3/m²]:[A4/m²]]),
CU33+IF(CV$2=Input_Tidshorisont,SUM(Materialedata[[#This Row],[C3/m²]:[C4/m²]]),IF(MOD(CV$2,Materialedata[[#This Row],[Levetid]])=0,SUM(Materialedata[[#This Row],[A1-A3/m²]:[C4/m²]]),0))
))</f>
        <v>.</v>
      </c>
      <c r="CW33" s="141" t="str">
        <f>IF(CW$2&gt;Input_Tidshorisont,BlankTegn,IF(CW$2=0,SUM(Materialedata[[#This Row],[A1-A3/m²]:[A4/m²]]),
CV33+IF(CW$2=Input_Tidshorisont,SUM(Materialedata[[#This Row],[C3/m²]:[C4/m²]]),IF(MOD(CW$2,Materialedata[[#This Row],[Levetid]])=0,SUM(Materialedata[[#This Row],[A1-A3/m²]:[C4/m²]]),0))
))</f>
        <v>.</v>
      </c>
      <c r="CX33" s="141" t="str">
        <f>IF(CX$2&gt;Input_Tidshorisont,BlankTegn,IF(CX$2=0,SUM(Materialedata[[#This Row],[A1-A3/m²]:[A4/m²]]),
CW33+IF(CX$2=Input_Tidshorisont,SUM(Materialedata[[#This Row],[C3/m²]:[C4/m²]]),IF(MOD(CX$2,Materialedata[[#This Row],[Levetid]])=0,SUM(Materialedata[[#This Row],[A1-A3/m²]:[C4/m²]]),0))
))</f>
        <v>.</v>
      </c>
      <c r="CY33" s="141" t="str">
        <f>IF(CY$2&gt;Input_Tidshorisont,BlankTegn,IF(CY$2=0,SUM(Materialedata[[#This Row],[A1-A3/m²]:[A4/m²]]),
CX33+IF(CY$2=Input_Tidshorisont,SUM(Materialedata[[#This Row],[C3/m²]:[C4/m²]]),IF(MOD(CY$2,Materialedata[[#This Row],[Levetid]])=0,SUM(Materialedata[[#This Row],[A1-A3/m²]:[C4/m²]]),0))
))</f>
        <v>.</v>
      </c>
      <c r="CZ33" s="141" t="str">
        <f>IF(CZ$2&gt;Input_Tidshorisont,BlankTegn,IF(CZ$2=0,SUM(Materialedata[[#This Row],[A1-A3/m²]:[A4/m²]]),
CY33+IF(CZ$2=Input_Tidshorisont,SUM(Materialedata[[#This Row],[C3/m²]:[C4/m²]]),IF(MOD(CZ$2,Materialedata[[#This Row],[Levetid]])=0,SUM(Materialedata[[#This Row],[A1-A3/m²]:[C4/m²]]),0))
))</f>
        <v>.</v>
      </c>
      <c r="DA33" s="141" t="str">
        <f>IF(DA$2&gt;Input_Tidshorisont,BlankTegn,IF(DA$2=0,SUM(Materialedata[[#This Row],[A1-A3/m²]:[A4/m²]]),
CZ33+IF(DA$2=Input_Tidshorisont,SUM(Materialedata[[#This Row],[C3/m²]:[C4/m²]]),IF(MOD(DA$2,Materialedata[[#This Row],[Levetid]])=0,SUM(Materialedata[[#This Row],[A1-A3/m²]:[C4/m²]]),0))
))</f>
        <v>.</v>
      </c>
      <c r="DB33" s="141" t="str">
        <f>IF(DB$2&gt;Input_Tidshorisont,BlankTegn,IF(DB$2=0,SUM(Materialedata[[#This Row],[A1-A3/m²]:[A4/m²]]),
DA33+IF(DB$2=Input_Tidshorisont,SUM(Materialedata[[#This Row],[C3/m²]:[C4/m²]]),IF(MOD(DB$2,Materialedata[[#This Row],[Levetid]])=0,SUM(Materialedata[[#This Row],[A1-A3/m²]:[C4/m²]]),0))
))</f>
        <v>.</v>
      </c>
      <c r="DC33" s="141" t="str">
        <f>IF(DC$2&gt;Input_Tidshorisont,BlankTegn,IF(DC$2=0,SUM(Materialedata[[#This Row],[A1-A3/m²]:[A4/m²]]),
DB33+IF(DC$2=Input_Tidshorisont,SUM(Materialedata[[#This Row],[C3/m²]:[C4/m²]]),IF(MOD(DC$2,Materialedata[[#This Row],[Levetid]])=0,SUM(Materialedata[[#This Row],[A1-A3/m²]:[C4/m²]]),0))
))</f>
        <v>.</v>
      </c>
      <c r="DD33" s="141" t="str">
        <f>IF(DD$2&gt;Input_Tidshorisont,BlankTegn,IF(DD$2=0,SUM(Materialedata[[#This Row],[A1-A3/m²]:[A4/m²]]),
DC33+IF(DD$2=Input_Tidshorisont,SUM(Materialedata[[#This Row],[C3/m²]:[C4/m²]]),IF(MOD(DD$2,Materialedata[[#This Row],[Levetid]])=0,SUM(Materialedata[[#This Row],[A1-A3/m²]:[C4/m²]]),0))
))</f>
        <v>.</v>
      </c>
      <c r="DE33" s="141" t="str">
        <f>IF(DE$2&gt;Input_Tidshorisont,BlankTegn,IF(DE$2=0,SUM(Materialedata[[#This Row],[A1-A3/m²]:[A4/m²]]),
DD33+IF(DE$2=Input_Tidshorisont,SUM(Materialedata[[#This Row],[C3/m²]:[C4/m²]]),IF(MOD(DE$2,Materialedata[[#This Row],[Levetid]])=0,SUM(Materialedata[[#This Row],[A1-A3/m²]:[C4/m²]]),0))
))</f>
        <v>.</v>
      </c>
      <c r="DF33" s="141" t="str">
        <f>IF(DF$2&gt;Input_Tidshorisont,BlankTegn,IF(DF$2=0,SUM(Materialedata[[#This Row],[A1-A3/m²]:[A4/m²]]),
DE33+IF(DF$2=Input_Tidshorisont,SUM(Materialedata[[#This Row],[C3/m²]:[C4/m²]]),IF(MOD(DF$2,Materialedata[[#This Row],[Levetid]])=0,SUM(Materialedata[[#This Row],[A1-A3/m²]:[C4/m²]]),0))
))</f>
        <v>.</v>
      </c>
      <c r="DG33" s="141" t="str">
        <f>IF(DG$2&gt;Input_Tidshorisont,BlankTegn,IF(DG$2=0,SUM(Materialedata[[#This Row],[A1-A3/m²]:[A4/m²]]),
DF33+IF(DG$2=Input_Tidshorisont,SUM(Materialedata[[#This Row],[C3/m²]:[C4/m²]]),IF(MOD(DG$2,Materialedata[[#This Row],[Levetid]])=0,SUM(Materialedata[[#This Row],[A1-A3/m²]:[C4/m²]]),0))
))</f>
        <v>.</v>
      </c>
      <c r="DH33" s="141" t="str">
        <f>IF(DH$2&gt;Input_Tidshorisont,BlankTegn,IF(DH$2=0,SUM(Materialedata[[#This Row],[A1-A3/m²]:[A4/m²]]),
DG33+IF(DH$2=Input_Tidshorisont,SUM(Materialedata[[#This Row],[C3/m²]:[C4/m²]]),IF(MOD(DH$2,Materialedata[[#This Row],[Levetid]])=0,SUM(Materialedata[[#This Row],[A1-A3/m²]:[C4/m²]]),0))
))</f>
        <v>.</v>
      </c>
      <c r="DI33" s="141" t="str">
        <f>IF(DI$2&gt;Input_Tidshorisont,BlankTegn,IF(DI$2=0,SUM(Materialedata[[#This Row],[A1-A3/m²]:[A4/m²]]),
DH33+IF(DI$2=Input_Tidshorisont,SUM(Materialedata[[#This Row],[C3/m²]:[C4/m²]]),IF(MOD(DI$2,Materialedata[[#This Row],[Levetid]])=0,SUM(Materialedata[[#This Row],[A1-A3/m²]:[C4/m²]]),0))
))</f>
        <v>.</v>
      </c>
      <c r="DJ33" s="141" t="str">
        <f>IF(DJ$2&gt;Input_Tidshorisont,BlankTegn,IF(DJ$2=0,SUM(Materialedata[[#This Row],[A1-A3/m²]:[A4/m²]]),
DI33+IF(DJ$2=Input_Tidshorisont,SUM(Materialedata[[#This Row],[C3/m²]:[C4/m²]]),IF(MOD(DJ$2,Materialedata[[#This Row],[Levetid]])=0,SUM(Materialedata[[#This Row],[A1-A3/m²]:[C4/m²]]),0))
))</f>
        <v>.</v>
      </c>
      <c r="DK33" s="141" t="str">
        <f>IF(DK$2&gt;Input_Tidshorisont,BlankTegn,IF(DK$2=0,SUM(Materialedata[[#This Row],[A1-A3/m²]:[A4/m²]]),
DJ33+IF(DK$2=Input_Tidshorisont,SUM(Materialedata[[#This Row],[C3/m²]:[C4/m²]]),IF(MOD(DK$2,Materialedata[[#This Row],[Levetid]])=0,SUM(Materialedata[[#This Row],[A1-A3/m²]:[C4/m²]]),0))
))</f>
        <v>.</v>
      </c>
      <c r="DL33" s="141" t="str">
        <f>IF(DL$2&gt;Input_Tidshorisont,BlankTegn,IF(DL$2=0,SUM(Materialedata[[#This Row],[A1-A3/m²]:[A4/m²]]),
DK33+IF(DL$2=Input_Tidshorisont,SUM(Materialedata[[#This Row],[C3/m²]:[C4/m²]]),IF(MOD(DL$2,Materialedata[[#This Row],[Levetid]])=0,SUM(Materialedata[[#This Row],[A1-A3/m²]:[C4/m²]]),0))
))</f>
        <v>.</v>
      </c>
      <c r="DM33" s="19"/>
    </row>
    <row r="34" spans="1:117">
      <c r="A34" s="182" t="s">
        <v>248</v>
      </c>
      <c r="B34" s="182" t="s">
        <v>174</v>
      </c>
      <c r="C34" s="148" t="s">
        <v>131</v>
      </c>
      <c r="D34" s="184"/>
      <c r="E34" s="180" t="s">
        <v>155</v>
      </c>
      <c r="F34" s="182" t="s">
        <v>156</v>
      </c>
      <c r="G34" s="182">
        <v>60</v>
      </c>
      <c r="H34" s="183">
        <v>30</v>
      </c>
      <c r="I34" s="184">
        <f>0.1*1*1</f>
        <v>0.1</v>
      </c>
      <c r="J34" s="184" t="s">
        <v>232</v>
      </c>
      <c r="K34" s="182">
        <v>0.59</v>
      </c>
      <c r="L34" s="182" t="s">
        <v>221</v>
      </c>
      <c r="M34" s="185">
        <f>IF(ISBLANK(Materialedata[[#This Row],[A4-gruppe]]),BlankTegn,INDEX(Byggeproces[GWP],MATCH(Materialedata[[#This Row],[A4-gruppe]],Byggeproces[Gruppe/Undergruppe],0)))</f>
        <v>1.9599999999999999E-2</v>
      </c>
      <c r="N34" s="182">
        <v>0</v>
      </c>
      <c r="O34" s="182">
        <v>1.7999999999999999E-2</v>
      </c>
      <c r="P34" s="182">
        <v>-2.3199999999999998E-2</v>
      </c>
      <c r="Q34" s="277">
        <f>Materialedata[[#This Row],[A1-A3/standardenhed]]/0.037*0.1</f>
        <v>1.5945945945945947</v>
      </c>
      <c r="R34" s="278" cm="1">
        <f t="array" ref="R34">IFERROR(_xlfn.IFS(Materialedata[[#This Row],[Mængde-enhed]]="kg/m²",Materialedata[[#This Row],[A4/kg]]*Materialedata[[#This Row],[Mængde/m²]],Materialedata[[#This Row],[Mængde-enhed]]="m³/m²",Materialedata[[#This Row],[A4/kg]]*Materialedata[[#This Row],[Mængde/m²]]*Materialedata[[#This Row],[Densitet]]),"N/A")</f>
        <v>5.8799999999999998E-2</v>
      </c>
      <c r="S34" s="277">
        <f>Materialedata[[#This Row],[C3/enhed]]/0.037*0.1</f>
        <v>0</v>
      </c>
      <c r="T34" s="277">
        <f>Materialedata[[#This Row],[C4/enhed]]/0.037*0.1</f>
        <v>4.8648648648648651E-2</v>
      </c>
      <c r="U34" s="277">
        <f>Materialedata[[#This Row],[D/enhed]]/0.037*0.1</f>
        <v>-6.2702702702702715E-2</v>
      </c>
      <c r="V34" s="150">
        <f>IFERROR(INDEX(Range_Materiale_Genbrug,MATCH(Materialedata[[#This Row],[Komponent]],Facadekomponenter,0)),BlankTegn)</f>
        <v>0</v>
      </c>
      <c r="W34" s="150">
        <f>IFERROR(1-Materialedata[[#This Row],[Genbrug]],BlankTegn)</f>
        <v>1</v>
      </c>
      <c r="X34" s="186">
        <f>IFERROR(Materialedata[[#This Row],[A1-A3/m²_nyt]]*Materialedata[[#This Row],[Nyt]],BlankTegn)</f>
        <v>1.5945945945945947</v>
      </c>
      <c r="Y34" s="186">
        <f>Materialedata[[#This Row],[A4/m²_nyt]]</f>
        <v>5.8799999999999998E-2</v>
      </c>
      <c r="Z34" s="186">
        <f>IFERROR(Materialedata[[#This Row],[C3/m²_nyt]]*Materialedata[[#This Row],[Nyt]],BlankTegn)</f>
        <v>0</v>
      </c>
      <c r="AA34" s="186">
        <f>IFERROR(Materialedata[[#This Row],[C4/m²_nyt]]*Materialedata[[#This Row],[Nyt]],BlankTegn)</f>
        <v>4.8648648648648651E-2</v>
      </c>
      <c r="AB34" s="186">
        <f>IFERROR(Materialedata[[#This Row],[D/m²_nyt]]*Materialedata[[#This Row],[Nyt]],BlankTegn)</f>
        <v>-6.2702702702702715E-2</v>
      </c>
      <c r="AC34" s="187">
        <v>86.4</v>
      </c>
      <c r="AD34" s="188" t="s">
        <v>29</v>
      </c>
      <c r="AE34" s="182">
        <v>1</v>
      </c>
      <c r="AF34" s="189">
        <f>Materialedata[[#This Row],[Pris/enhed]]*Materialedata[[#This Row],[Omregning]]</f>
        <v>86.4</v>
      </c>
      <c r="AG34" s="190">
        <v>0.01</v>
      </c>
      <c r="AH34" s="191">
        <v>1</v>
      </c>
      <c r="AI34" s="162">
        <v>0</v>
      </c>
      <c r="AJ34" s="141">
        <f>IF(AJ$2&gt;Input_Tidshorisont,BlankTegn,IF(AJ$2=0,SUM(Materialedata[[#This Row],[A1-A3/m²]:[A4/m²]]),
AI34+IF(AJ$2=Input_Tidshorisont,SUM(Materialedata[[#This Row],[C3/m²]:[C4/m²]]),IF(MOD(AJ$2,Materialedata[[#This Row],[Levetid]])=0,SUM(Materialedata[[#This Row],[A1-A3/m²]:[C4/m²]]),0))
))</f>
        <v>1.6533945945945947</v>
      </c>
      <c r="AK34" s="141">
        <f>IF(AK$2&gt;Input_Tidshorisont,BlankTegn,IF(AK$2=0,SUM(Materialedata[[#This Row],[A1-A3/m²]:[A4/m²]]),
AJ34+IF(AK$2=Input_Tidshorisont,SUM(Materialedata[[#This Row],[C3/m²]:[C4/m²]]),IF(MOD(AK$2,Materialedata[[#This Row],[Levetid]])=0,SUM(Materialedata[[#This Row],[A1-A3/m²]:[C4/m²]]),0))
))</f>
        <v>1.6533945945945947</v>
      </c>
      <c r="AL34" s="141">
        <f>IF(AL$2&gt;Input_Tidshorisont,BlankTegn,IF(AL$2=0,SUM(Materialedata[[#This Row],[A1-A3/m²]:[A4/m²]]),
AK34+IF(AL$2=Input_Tidshorisont,SUM(Materialedata[[#This Row],[C3/m²]:[C4/m²]]),IF(MOD(AL$2,Materialedata[[#This Row],[Levetid]])=0,SUM(Materialedata[[#This Row],[A1-A3/m²]:[C4/m²]]),0))
))</f>
        <v>1.6533945945945947</v>
      </c>
      <c r="AM34" s="141">
        <f>IF(AM$2&gt;Input_Tidshorisont,BlankTegn,IF(AM$2=0,SUM(Materialedata[[#This Row],[A1-A3/m²]:[A4/m²]]),
AL34+IF(AM$2=Input_Tidshorisont,SUM(Materialedata[[#This Row],[C3/m²]:[C4/m²]]),IF(MOD(AM$2,Materialedata[[#This Row],[Levetid]])=0,SUM(Materialedata[[#This Row],[A1-A3/m²]:[C4/m²]]),0))
))</f>
        <v>1.6533945945945947</v>
      </c>
      <c r="AN34" s="141">
        <f>IF(AN$2&gt;Input_Tidshorisont,BlankTegn,IF(AN$2=0,SUM(Materialedata[[#This Row],[A1-A3/m²]:[A4/m²]]),
AM34+IF(AN$2=Input_Tidshorisont,SUM(Materialedata[[#This Row],[C3/m²]:[C4/m²]]),IF(MOD(AN$2,Materialedata[[#This Row],[Levetid]])=0,SUM(Materialedata[[#This Row],[A1-A3/m²]:[C4/m²]]),0))
))</f>
        <v>1.6533945945945947</v>
      </c>
      <c r="AO34" s="141">
        <f>IF(AO$2&gt;Input_Tidshorisont,BlankTegn,IF(AO$2=0,SUM(Materialedata[[#This Row],[A1-A3/m²]:[A4/m²]]),
AN34+IF(AO$2=Input_Tidshorisont,SUM(Materialedata[[#This Row],[C3/m²]:[C4/m²]]),IF(MOD(AO$2,Materialedata[[#This Row],[Levetid]])=0,SUM(Materialedata[[#This Row],[A1-A3/m²]:[C4/m²]]),0))
))</f>
        <v>1.6533945945945947</v>
      </c>
      <c r="AP34" s="141">
        <f>IF(AP$2&gt;Input_Tidshorisont,BlankTegn,IF(AP$2=0,SUM(Materialedata[[#This Row],[A1-A3/m²]:[A4/m²]]),
AO34+IF(AP$2=Input_Tidshorisont,SUM(Materialedata[[#This Row],[C3/m²]:[C4/m²]]),IF(MOD(AP$2,Materialedata[[#This Row],[Levetid]])=0,SUM(Materialedata[[#This Row],[A1-A3/m²]:[C4/m²]]),0))
))</f>
        <v>1.6533945945945947</v>
      </c>
      <c r="AQ34" s="141">
        <f>IF(AQ$2&gt;Input_Tidshorisont,BlankTegn,IF(AQ$2=0,SUM(Materialedata[[#This Row],[A1-A3/m²]:[A4/m²]]),
AP34+IF(AQ$2=Input_Tidshorisont,SUM(Materialedata[[#This Row],[C3/m²]:[C4/m²]]),IF(MOD(AQ$2,Materialedata[[#This Row],[Levetid]])=0,SUM(Materialedata[[#This Row],[A1-A3/m²]:[C4/m²]]),0))
))</f>
        <v>1.6533945945945947</v>
      </c>
      <c r="AR34" s="141">
        <f>IF(AR$2&gt;Input_Tidshorisont,BlankTegn,IF(AR$2=0,SUM(Materialedata[[#This Row],[A1-A3/m²]:[A4/m²]]),
AQ34+IF(AR$2=Input_Tidshorisont,SUM(Materialedata[[#This Row],[C3/m²]:[C4/m²]]),IF(MOD(AR$2,Materialedata[[#This Row],[Levetid]])=0,SUM(Materialedata[[#This Row],[A1-A3/m²]:[C4/m²]]),0))
))</f>
        <v>1.6533945945945947</v>
      </c>
      <c r="AS34" s="141">
        <f>IF(AS$2&gt;Input_Tidshorisont,BlankTegn,IF(AS$2=0,SUM(Materialedata[[#This Row],[A1-A3/m²]:[A4/m²]]),
AR34+IF(AS$2=Input_Tidshorisont,SUM(Materialedata[[#This Row],[C3/m²]:[C4/m²]]),IF(MOD(AS$2,Materialedata[[#This Row],[Levetid]])=0,SUM(Materialedata[[#This Row],[A1-A3/m²]:[C4/m²]]),0))
))</f>
        <v>1.6533945945945947</v>
      </c>
      <c r="AT34" s="141">
        <f>IF(AT$2&gt;Input_Tidshorisont,BlankTegn,IF(AT$2=0,SUM(Materialedata[[#This Row],[A1-A3/m²]:[A4/m²]]),
AS34+IF(AT$2=Input_Tidshorisont,SUM(Materialedata[[#This Row],[C3/m²]:[C4/m²]]),IF(MOD(AT$2,Materialedata[[#This Row],[Levetid]])=0,SUM(Materialedata[[#This Row],[A1-A3/m²]:[C4/m²]]),0))
))</f>
        <v>1.6533945945945947</v>
      </c>
      <c r="AU34" s="141">
        <f>IF(AU$2&gt;Input_Tidshorisont,BlankTegn,IF(AU$2=0,SUM(Materialedata[[#This Row],[A1-A3/m²]:[A4/m²]]),
AT34+IF(AU$2=Input_Tidshorisont,SUM(Materialedata[[#This Row],[C3/m²]:[C4/m²]]),IF(MOD(AU$2,Materialedata[[#This Row],[Levetid]])=0,SUM(Materialedata[[#This Row],[A1-A3/m²]:[C4/m²]]),0))
))</f>
        <v>1.6533945945945947</v>
      </c>
      <c r="AV34" s="141">
        <f>IF(AV$2&gt;Input_Tidshorisont,BlankTegn,IF(AV$2=0,SUM(Materialedata[[#This Row],[A1-A3/m²]:[A4/m²]]),
AU34+IF(AV$2=Input_Tidshorisont,SUM(Materialedata[[#This Row],[C3/m²]:[C4/m²]]),IF(MOD(AV$2,Materialedata[[#This Row],[Levetid]])=0,SUM(Materialedata[[#This Row],[A1-A3/m²]:[C4/m²]]),0))
))</f>
        <v>1.6533945945945947</v>
      </c>
      <c r="AW34" s="141">
        <f>IF(AW$2&gt;Input_Tidshorisont,BlankTegn,IF(AW$2=0,SUM(Materialedata[[#This Row],[A1-A3/m²]:[A4/m²]]),
AV34+IF(AW$2=Input_Tidshorisont,SUM(Materialedata[[#This Row],[C3/m²]:[C4/m²]]),IF(MOD(AW$2,Materialedata[[#This Row],[Levetid]])=0,SUM(Materialedata[[#This Row],[A1-A3/m²]:[C4/m²]]),0))
))</f>
        <v>1.6533945945945947</v>
      </c>
      <c r="AX34" s="141">
        <f>IF(AX$2&gt;Input_Tidshorisont,BlankTegn,IF(AX$2=0,SUM(Materialedata[[#This Row],[A1-A3/m²]:[A4/m²]]),
AW34+IF(AX$2=Input_Tidshorisont,SUM(Materialedata[[#This Row],[C3/m²]:[C4/m²]]),IF(MOD(AX$2,Materialedata[[#This Row],[Levetid]])=0,SUM(Materialedata[[#This Row],[A1-A3/m²]:[C4/m²]]),0))
))</f>
        <v>1.6533945945945947</v>
      </c>
      <c r="AY34" s="141">
        <f>IF(AY$2&gt;Input_Tidshorisont,BlankTegn,IF(AY$2=0,SUM(Materialedata[[#This Row],[A1-A3/m²]:[A4/m²]]),
AX34+IF(AY$2=Input_Tidshorisont,SUM(Materialedata[[#This Row],[C3/m²]:[C4/m²]]),IF(MOD(AY$2,Materialedata[[#This Row],[Levetid]])=0,SUM(Materialedata[[#This Row],[A1-A3/m²]:[C4/m²]]),0))
))</f>
        <v>1.6533945945945947</v>
      </c>
      <c r="AZ34" s="141">
        <f>IF(AZ$2&gt;Input_Tidshorisont,BlankTegn,IF(AZ$2=0,SUM(Materialedata[[#This Row],[A1-A3/m²]:[A4/m²]]),
AY34+IF(AZ$2=Input_Tidshorisont,SUM(Materialedata[[#This Row],[C3/m²]:[C4/m²]]),IF(MOD(AZ$2,Materialedata[[#This Row],[Levetid]])=0,SUM(Materialedata[[#This Row],[A1-A3/m²]:[C4/m²]]),0))
))</f>
        <v>1.6533945945945947</v>
      </c>
      <c r="BA34" s="141">
        <f>IF(BA$2&gt;Input_Tidshorisont,BlankTegn,IF(BA$2=0,SUM(Materialedata[[#This Row],[A1-A3/m²]:[A4/m²]]),
AZ34+IF(BA$2=Input_Tidshorisont,SUM(Materialedata[[#This Row],[C3/m²]:[C4/m²]]),IF(MOD(BA$2,Materialedata[[#This Row],[Levetid]])=0,SUM(Materialedata[[#This Row],[A1-A3/m²]:[C4/m²]]),0))
))</f>
        <v>1.6533945945945947</v>
      </c>
      <c r="BB34" s="141">
        <f>IF(BB$2&gt;Input_Tidshorisont,BlankTegn,IF(BB$2=0,SUM(Materialedata[[#This Row],[A1-A3/m²]:[A4/m²]]),
BA34+IF(BB$2=Input_Tidshorisont,SUM(Materialedata[[#This Row],[C3/m²]:[C4/m²]]),IF(MOD(BB$2,Materialedata[[#This Row],[Levetid]])=0,SUM(Materialedata[[#This Row],[A1-A3/m²]:[C4/m²]]),0))
))</f>
        <v>1.6533945945945947</v>
      </c>
      <c r="BC34" s="141">
        <f>IF(BC$2&gt;Input_Tidshorisont,BlankTegn,IF(BC$2=0,SUM(Materialedata[[#This Row],[A1-A3/m²]:[A4/m²]]),
BB34+IF(BC$2=Input_Tidshorisont,SUM(Materialedata[[#This Row],[C3/m²]:[C4/m²]]),IF(MOD(BC$2,Materialedata[[#This Row],[Levetid]])=0,SUM(Materialedata[[#This Row],[A1-A3/m²]:[C4/m²]]),0))
))</f>
        <v>1.6533945945945947</v>
      </c>
      <c r="BD34" s="141">
        <f>IF(BD$2&gt;Input_Tidshorisont,BlankTegn,IF(BD$2=0,SUM(Materialedata[[#This Row],[A1-A3/m²]:[A4/m²]]),
BC34+IF(BD$2=Input_Tidshorisont,SUM(Materialedata[[#This Row],[C3/m²]:[C4/m²]]),IF(MOD(BD$2,Materialedata[[#This Row],[Levetid]])=0,SUM(Materialedata[[#This Row],[A1-A3/m²]:[C4/m²]]),0))
))</f>
        <v>1.6533945945945947</v>
      </c>
      <c r="BE34" s="141">
        <f>IF(BE$2&gt;Input_Tidshorisont,BlankTegn,IF(BE$2=0,SUM(Materialedata[[#This Row],[A1-A3/m²]:[A4/m²]]),
BD34+IF(BE$2=Input_Tidshorisont,SUM(Materialedata[[#This Row],[C3/m²]:[C4/m²]]),IF(MOD(BE$2,Materialedata[[#This Row],[Levetid]])=0,SUM(Materialedata[[#This Row],[A1-A3/m²]:[C4/m²]]),0))
))</f>
        <v>1.6533945945945947</v>
      </c>
      <c r="BF34" s="141">
        <f>IF(BF$2&gt;Input_Tidshorisont,BlankTegn,IF(BF$2=0,SUM(Materialedata[[#This Row],[A1-A3/m²]:[A4/m²]]),
BE34+IF(BF$2=Input_Tidshorisont,SUM(Materialedata[[#This Row],[C3/m²]:[C4/m²]]),IF(MOD(BF$2,Materialedata[[#This Row],[Levetid]])=0,SUM(Materialedata[[#This Row],[A1-A3/m²]:[C4/m²]]),0))
))</f>
        <v>1.6533945945945947</v>
      </c>
      <c r="BG34" s="141">
        <f>IF(BG$2&gt;Input_Tidshorisont,BlankTegn,IF(BG$2=0,SUM(Materialedata[[#This Row],[A1-A3/m²]:[A4/m²]]),
BF34+IF(BG$2=Input_Tidshorisont,SUM(Materialedata[[#This Row],[C3/m²]:[C4/m²]]),IF(MOD(BG$2,Materialedata[[#This Row],[Levetid]])=0,SUM(Materialedata[[#This Row],[A1-A3/m²]:[C4/m²]]),0))
))</f>
        <v>1.6533945945945947</v>
      </c>
      <c r="BH34" s="141">
        <f>IF(BH$2&gt;Input_Tidshorisont,BlankTegn,IF(BH$2=0,SUM(Materialedata[[#This Row],[A1-A3/m²]:[A4/m²]]),
BG34+IF(BH$2=Input_Tidshorisont,SUM(Materialedata[[#This Row],[C3/m²]:[C4/m²]]),IF(MOD(BH$2,Materialedata[[#This Row],[Levetid]])=0,SUM(Materialedata[[#This Row],[A1-A3/m²]:[C4/m²]]),0))
))</f>
        <v>1.6533945945945947</v>
      </c>
      <c r="BI34" s="141">
        <f>IF(BI$2&gt;Input_Tidshorisont,BlankTegn,IF(BI$2=0,SUM(Materialedata[[#This Row],[A1-A3/m²]:[A4/m²]]),
BH34+IF(BI$2=Input_Tidshorisont,SUM(Materialedata[[#This Row],[C3/m²]:[C4/m²]]),IF(MOD(BI$2,Materialedata[[#This Row],[Levetid]])=0,SUM(Materialedata[[#This Row],[A1-A3/m²]:[C4/m²]]),0))
))</f>
        <v>1.6533945945945947</v>
      </c>
      <c r="BJ34" s="141">
        <f>IF(BJ$2&gt;Input_Tidshorisont,BlankTegn,IF(BJ$2=0,SUM(Materialedata[[#This Row],[A1-A3/m²]:[A4/m²]]),
BI34+IF(BJ$2=Input_Tidshorisont,SUM(Materialedata[[#This Row],[C3/m²]:[C4/m²]]),IF(MOD(BJ$2,Materialedata[[#This Row],[Levetid]])=0,SUM(Materialedata[[#This Row],[A1-A3/m²]:[C4/m²]]),0))
))</f>
        <v>1.6533945945945947</v>
      </c>
      <c r="BK34" s="141">
        <f>IF(BK$2&gt;Input_Tidshorisont,BlankTegn,IF(BK$2=0,SUM(Materialedata[[#This Row],[A1-A3/m²]:[A4/m²]]),
BJ34+IF(BK$2=Input_Tidshorisont,SUM(Materialedata[[#This Row],[C3/m²]:[C4/m²]]),IF(MOD(BK$2,Materialedata[[#This Row],[Levetid]])=0,SUM(Materialedata[[#This Row],[A1-A3/m²]:[C4/m²]]),0))
))</f>
        <v>1.6533945945945947</v>
      </c>
      <c r="BL34" s="141">
        <f>IF(BL$2&gt;Input_Tidshorisont,BlankTegn,IF(BL$2=0,SUM(Materialedata[[#This Row],[A1-A3/m²]:[A4/m²]]),
BK34+IF(BL$2=Input_Tidshorisont,SUM(Materialedata[[#This Row],[C3/m²]:[C4/m²]]),IF(MOD(BL$2,Materialedata[[#This Row],[Levetid]])=0,SUM(Materialedata[[#This Row],[A1-A3/m²]:[C4/m²]]),0))
))</f>
        <v>1.6533945945945947</v>
      </c>
      <c r="BM34" s="141">
        <f>IF(BM$2&gt;Input_Tidshorisont,BlankTegn,IF(BM$2=0,SUM(Materialedata[[#This Row],[A1-A3/m²]:[A4/m²]]),
BL34+IF(BM$2=Input_Tidshorisont,SUM(Materialedata[[#This Row],[C3/m²]:[C4/m²]]),IF(MOD(BM$2,Materialedata[[#This Row],[Levetid]])=0,SUM(Materialedata[[#This Row],[A1-A3/m²]:[C4/m²]]),0))
))</f>
        <v>1.6533945945945947</v>
      </c>
      <c r="BN34" s="141">
        <f>IF(BN$2&gt;Input_Tidshorisont,BlankTegn,IF(BN$2=0,SUM(Materialedata[[#This Row],[A1-A3/m²]:[A4/m²]]),
BM34+IF(BN$2=Input_Tidshorisont,SUM(Materialedata[[#This Row],[C3/m²]:[C4/m²]]),IF(MOD(BN$2,Materialedata[[#This Row],[Levetid]])=0,SUM(Materialedata[[#This Row],[A1-A3/m²]:[C4/m²]]),0))
))</f>
        <v>1.6533945945945947</v>
      </c>
      <c r="BO34" s="141">
        <f>IF(BO$2&gt;Input_Tidshorisont,BlankTegn,IF(BO$2=0,SUM(Materialedata[[#This Row],[A1-A3/m²]:[A4/m²]]),
BN34+IF(BO$2=Input_Tidshorisont,SUM(Materialedata[[#This Row],[C3/m²]:[C4/m²]]),IF(MOD(BO$2,Materialedata[[#This Row],[Levetid]])=0,SUM(Materialedata[[#This Row],[A1-A3/m²]:[C4/m²]]),0))
))</f>
        <v>1.6533945945945947</v>
      </c>
      <c r="BP34" s="141">
        <f>IF(BP$2&gt;Input_Tidshorisont,BlankTegn,IF(BP$2=0,SUM(Materialedata[[#This Row],[A1-A3/m²]:[A4/m²]]),
BO34+IF(BP$2=Input_Tidshorisont,SUM(Materialedata[[#This Row],[C3/m²]:[C4/m²]]),IF(MOD(BP$2,Materialedata[[#This Row],[Levetid]])=0,SUM(Materialedata[[#This Row],[A1-A3/m²]:[C4/m²]]),0))
))</f>
        <v>1.6533945945945947</v>
      </c>
      <c r="BQ34" s="141">
        <f>IF(BQ$2&gt;Input_Tidshorisont,BlankTegn,IF(BQ$2=0,SUM(Materialedata[[#This Row],[A1-A3/m²]:[A4/m²]]),
BP34+IF(BQ$2=Input_Tidshorisont,SUM(Materialedata[[#This Row],[C3/m²]:[C4/m²]]),IF(MOD(BQ$2,Materialedata[[#This Row],[Levetid]])=0,SUM(Materialedata[[#This Row],[A1-A3/m²]:[C4/m²]]),0))
))</f>
        <v>1.6533945945945947</v>
      </c>
      <c r="BR34" s="141">
        <f>IF(BR$2&gt;Input_Tidshorisont,BlankTegn,IF(BR$2=0,SUM(Materialedata[[#This Row],[A1-A3/m²]:[A4/m²]]),
BQ34+IF(BR$2=Input_Tidshorisont,SUM(Materialedata[[#This Row],[C3/m²]:[C4/m²]]),IF(MOD(BR$2,Materialedata[[#This Row],[Levetid]])=0,SUM(Materialedata[[#This Row],[A1-A3/m²]:[C4/m²]]),0))
))</f>
        <v>1.6533945945945947</v>
      </c>
      <c r="BS34" s="141">
        <f>IF(BS$2&gt;Input_Tidshorisont,BlankTegn,IF(BS$2=0,SUM(Materialedata[[#This Row],[A1-A3/m²]:[A4/m²]]),
BR34+IF(BS$2=Input_Tidshorisont,SUM(Materialedata[[#This Row],[C3/m²]:[C4/m²]]),IF(MOD(BS$2,Materialedata[[#This Row],[Levetid]])=0,SUM(Materialedata[[#This Row],[A1-A3/m²]:[C4/m²]]),0))
))</f>
        <v>1.6533945945945947</v>
      </c>
      <c r="BT34" s="141">
        <f>IF(BT$2&gt;Input_Tidshorisont,BlankTegn,IF(BT$2=0,SUM(Materialedata[[#This Row],[A1-A3/m²]:[A4/m²]]),
BS34+IF(BT$2=Input_Tidshorisont,SUM(Materialedata[[#This Row],[C3/m²]:[C4/m²]]),IF(MOD(BT$2,Materialedata[[#This Row],[Levetid]])=0,SUM(Materialedata[[#This Row],[A1-A3/m²]:[C4/m²]]),0))
))</f>
        <v>1.6533945945945947</v>
      </c>
      <c r="BU34" s="141">
        <f>IF(BU$2&gt;Input_Tidshorisont,BlankTegn,IF(BU$2=0,SUM(Materialedata[[#This Row],[A1-A3/m²]:[A4/m²]]),
BT34+IF(BU$2=Input_Tidshorisont,SUM(Materialedata[[#This Row],[C3/m²]:[C4/m²]]),IF(MOD(BU$2,Materialedata[[#This Row],[Levetid]])=0,SUM(Materialedata[[#This Row],[A1-A3/m²]:[C4/m²]]),0))
))</f>
        <v>1.6533945945945947</v>
      </c>
      <c r="BV34" s="141">
        <f>IF(BV$2&gt;Input_Tidshorisont,BlankTegn,IF(BV$2=0,SUM(Materialedata[[#This Row],[A1-A3/m²]:[A4/m²]]),
BU34+IF(BV$2=Input_Tidshorisont,SUM(Materialedata[[#This Row],[C3/m²]:[C4/m²]]),IF(MOD(BV$2,Materialedata[[#This Row],[Levetid]])=0,SUM(Materialedata[[#This Row],[A1-A3/m²]:[C4/m²]]),0))
))</f>
        <v>1.6533945945945947</v>
      </c>
      <c r="BW34" s="141">
        <f>IF(BW$2&gt;Input_Tidshorisont,BlankTegn,IF(BW$2=0,SUM(Materialedata[[#This Row],[A1-A3/m²]:[A4/m²]]),
BV34+IF(BW$2=Input_Tidshorisont,SUM(Materialedata[[#This Row],[C3/m²]:[C4/m²]]),IF(MOD(BW$2,Materialedata[[#This Row],[Levetid]])=0,SUM(Materialedata[[#This Row],[A1-A3/m²]:[C4/m²]]),0))
))</f>
        <v>1.6533945945945947</v>
      </c>
      <c r="BX34" s="141">
        <f>IF(BX$2&gt;Input_Tidshorisont,BlankTegn,IF(BX$2=0,SUM(Materialedata[[#This Row],[A1-A3/m²]:[A4/m²]]),
BW34+IF(BX$2=Input_Tidshorisont,SUM(Materialedata[[#This Row],[C3/m²]:[C4/m²]]),IF(MOD(BX$2,Materialedata[[#This Row],[Levetid]])=0,SUM(Materialedata[[#This Row],[A1-A3/m²]:[C4/m²]]),0))
))</f>
        <v>1.6533945945945947</v>
      </c>
      <c r="BY34" s="141">
        <f>IF(BY$2&gt;Input_Tidshorisont,BlankTegn,IF(BY$2=0,SUM(Materialedata[[#This Row],[A1-A3/m²]:[A4/m²]]),
BX34+IF(BY$2=Input_Tidshorisont,SUM(Materialedata[[#This Row],[C3/m²]:[C4/m²]]),IF(MOD(BY$2,Materialedata[[#This Row],[Levetid]])=0,SUM(Materialedata[[#This Row],[A1-A3/m²]:[C4/m²]]),0))
))</f>
        <v>1.6533945945945947</v>
      </c>
      <c r="BZ34" s="141">
        <f>IF(BZ$2&gt;Input_Tidshorisont,BlankTegn,IF(BZ$2=0,SUM(Materialedata[[#This Row],[A1-A3/m²]:[A4/m²]]),
BY34+IF(BZ$2=Input_Tidshorisont,SUM(Materialedata[[#This Row],[C3/m²]:[C4/m²]]),IF(MOD(BZ$2,Materialedata[[#This Row],[Levetid]])=0,SUM(Materialedata[[#This Row],[A1-A3/m²]:[C4/m²]]),0))
))</f>
        <v>1.6533945945945947</v>
      </c>
      <c r="CA34" s="141">
        <f>IF(CA$2&gt;Input_Tidshorisont,BlankTegn,IF(CA$2=0,SUM(Materialedata[[#This Row],[A1-A3/m²]:[A4/m²]]),
BZ34+IF(CA$2=Input_Tidshorisont,SUM(Materialedata[[#This Row],[C3/m²]:[C4/m²]]),IF(MOD(CA$2,Materialedata[[#This Row],[Levetid]])=0,SUM(Materialedata[[#This Row],[A1-A3/m²]:[C4/m²]]),0))
))</f>
        <v>1.6533945945945947</v>
      </c>
      <c r="CB34" s="141">
        <f>IF(CB$2&gt;Input_Tidshorisont,BlankTegn,IF(CB$2=0,SUM(Materialedata[[#This Row],[A1-A3/m²]:[A4/m²]]),
CA34+IF(CB$2=Input_Tidshorisont,SUM(Materialedata[[#This Row],[C3/m²]:[C4/m²]]),IF(MOD(CB$2,Materialedata[[#This Row],[Levetid]])=0,SUM(Materialedata[[#This Row],[A1-A3/m²]:[C4/m²]]),0))
))</f>
        <v>1.6533945945945947</v>
      </c>
      <c r="CC34" s="141">
        <f>IF(CC$2&gt;Input_Tidshorisont,BlankTegn,IF(CC$2=0,SUM(Materialedata[[#This Row],[A1-A3/m²]:[A4/m²]]),
CB34+IF(CC$2=Input_Tidshorisont,SUM(Materialedata[[#This Row],[C3/m²]:[C4/m²]]),IF(MOD(CC$2,Materialedata[[#This Row],[Levetid]])=0,SUM(Materialedata[[#This Row],[A1-A3/m²]:[C4/m²]]),0))
))</f>
        <v>1.6533945945945947</v>
      </c>
      <c r="CD34" s="141">
        <f>IF(CD$2&gt;Input_Tidshorisont,BlankTegn,IF(CD$2=0,SUM(Materialedata[[#This Row],[A1-A3/m²]:[A4/m²]]),
CC34+IF(CD$2=Input_Tidshorisont,SUM(Materialedata[[#This Row],[C3/m²]:[C4/m²]]),IF(MOD(CD$2,Materialedata[[#This Row],[Levetid]])=0,SUM(Materialedata[[#This Row],[A1-A3/m²]:[C4/m²]]),0))
))</f>
        <v>1.6533945945945947</v>
      </c>
      <c r="CE34" s="141">
        <f>IF(CE$2&gt;Input_Tidshorisont,BlankTegn,IF(CE$2=0,SUM(Materialedata[[#This Row],[A1-A3/m²]:[A4/m²]]),
CD34+IF(CE$2=Input_Tidshorisont,SUM(Materialedata[[#This Row],[C3/m²]:[C4/m²]]),IF(MOD(CE$2,Materialedata[[#This Row],[Levetid]])=0,SUM(Materialedata[[#This Row],[A1-A3/m²]:[C4/m²]]),0))
))</f>
        <v>1.6533945945945947</v>
      </c>
      <c r="CF34" s="141">
        <f>IF(CF$2&gt;Input_Tidshorisont,BlankTegn,IF(CF$2=0,SUM(Materialedata[[#This Row],[A1-A3/m²]:[A4/m²]]),
CE34+IF(CF$2=Input_Tidshorisont,SUM(Materialedata[[#This Row],[C3/m²]:[C4/m²]]),IF(MOD(CF$2,Materialedata[[#This Row],[Levetid]])=0,SUM(Materialedata[[#This Row],[A1-A3/m²]:[C4/m²]]),0))
))</f>
        <v>1.6533945945945947</v>
      </c>
      <c r="CG34" s="141">
        <f>IF(CG$2&gt;Input_Tidshorisont,BlankTegn,IF(CG$2=0,SUM(Materialedata[[#This Row],[A1-A3/m²]:[A4/m²]]),
CF34+IF(CG$2=Input_Tidshorisont,SUM(Materialedata[[#This Row],[C3/m²]:[C4/m²]]),IF(MOD(CG$2,Materialedata[[#This Row],[Levetid]])=0,SUM(Materialedata[[#This Row],[A1-A3/m²]:[C4/m²]]),0))
))</f>
        <v>1.6533945945945947</v>
      </c>
      <c r="CH34" s="141">
        <f>IF(CH$2&gt;Input_Tidshorisont,BlankTegn,IF(CH$2=0,SUM(Materialedata[[#This Row],[A1-A3/m²]:[A4/m²]]),
CG34+IF(CH$2=Input_Tidshorisont,SUM(Materialedata[[#This Row],[C3/m²]:[C4/m²]]),IF(MOD(CH$2,Materialedata[[#This Row],[Levetid]])=0,SUM(Materialedata[[#This Row],[A1-A3/m²]:[C4/m²]]),0))
))</f>
        <v>1.7020432432432433</v>
      </c>
      <c r="CI34" s="141" t="str">
        <f>IF(CI$2&gt;Input_Tidshorisont,BlankTegn,IF(CI$2=0,SUM(Materialedata[[#This Row],[A1-A3/m²]:[A4/m²]]),
CH34+IF(CI$2=Input_Tidshorisont,SUM(Materialedata[[#This Row],[C3/m²]:[C4/m²]]),IF(MOD(CI$2,Materialedata[[#This Row],[Levetid]])=0,SUM(Materialedata[[#This Row],[A1-A3/m²]:[C4/m²]]),0))
))</f>
        <v>.</v>
      </c>
      <c r="CJ34" s="141" t="str">
        <f>IF(CJ$2&gt;Input_Tidshorisont,BlankTegn,IF(CJ$2=0,SUM(Materialedata[[#This Row],[A1-A3/m²]:[A4/m²]]),
CI34+IF(CJ$2=Input_Tidshorisont,SUM(Materialedata[[#This Row],[C3/m²]:[C4/m²]]),IF(MOD(CJ$2,Materialedata[[#This Row],[Levetid]])=0,SUM(Materialedata[[#This Row],[A1-A3/m²]:[C4/m²]]),0))
))</f>
        <v>.</v>
      </c>
      <c r="CK34" s="141" t="str">
        <f>IF(CK$2&gt;Input_Tidshorisont,BlankTegn,IF(CK$2=0,SUM(Materialedata[[#This Row],[A1-A3/m²]:[A4/m²]]),
CJ34+IF(CK$2=Input_Tidshorisont,SUM(Materialedata[[#This Row],[C3/m²]:[C4/m²]]),IF(MOD(CK$2,Materialedata[[#This Row],[Levetid]])=0,SUM(Materialedata[[#This Row],[A1-A3/m²]:[C4/m²]]),0))
))</f>
        <v>.</v>
      </c>
      <c r="CL34" s="141" t="str">
        <f>IF(CL$2&gt;Input_Tidshorisont,BlankTegn,IF(CL$2=0,SUM(Materialedata[[#This Row],[A1-A3/m²]:[A4/m²]]),
CK34+IF(CL$2=Input_Tidshorisont,SUM(Materialedata[[#This Row],[C3/m²]:[C4/m²]]),IF(MOD(CL$2,Materialedata[[#This Row],[Levetid]])=0,SUM(Materialedata[[#This Row],[A1-A3/m²]:[C4/m²]]),0))
))</f>
        <v>.</v>
      </c>
      <c r="CM34" s="141" t="str">
        <f>IF(CM$2&gt;Input_Tidshorisont,BlankTegn,IF(CM$2=0,SUM(Materialedata[[#This Row],[A1-A3/m²]:[A4/m²]]),
CL34+IF(CM$2=Input_Tidshorisont,SUM(Materialedata[[#This Row],[C3/m²]:[C4/m²]]),IF(MOD(CM$2,Materialedata[[#This Row],[Levetid]])=0,SUM(Materialedata[[#This Row],[A1-A3/m²]:[C4/m²]]),0))
))</f>
        <v>.</v>
      </c>
      <c r="CN34" s="141" t="str">
        <f>IF(CN$2&gt;Input_Tidshorisont,BlankTegn,IF(CN$2=0,SUM(Materialedata[[#This Row],[A1-A3/m²]:[A4/m²]]),
CM34+IF(CN$2=Input_Tidshorisont,SUM(Materialedata[[#This Row],[C3/m²]:[C4/m²]]),IF(MOD(CN$2,Materialedata[[#This Row],[Levetid]])=0,SUM(Materialedata[[#This Row],[A1-A3/m²]:[C4/m²]]),0))
))</f>
        <v>.</v>
      </c>
      <c r="CO34" s="141" t="str">
        <f>IF(CO$2&gt;Input_Tidshorisont,BlankTegn,IF(CO$2=0,SUM(Materialedata[[#This Row],[A1-A3/m²]:[A4/m²]]),
CN34+IF(CO$2=Input_Tidshorisont,SUM(Materialedata[[#This Row],[C3/m²]:[C4/m²]]),IF(MOD(CO$2,Materialedata[[#This Row],[Levetid]])=0,SUM(Materialedata[[#This Row],[A1-A3/m²]:[C4/m²]]),0))
))</f>
        <v>.</v>
      </c>
      <c r="CP34" s="141" t="str">
        <f>IF(CP$2&gt;Input_Tidshorisont,BlankTegn,IF(CP$2=0,SUM(Materialedata[[#This Row],[A1-A3/m²]:[A4/m²]]),
CO34+IF(CP$2=Input_Tidshorisont,SUM(Materialedata[[#This Row],[C3/m²]:[C4/m²]]),IF(MOD(CP$2,Materialedata[[#This Row],[Levetid]])=0,SUM(Materialedata[[#This Row],[A1-A3/m²]:[C4/m²]]),0))
))</f>
        <v>.</v>
      </c>
      <c r="CQ34" s="141" t="str">
        <f>IF(CQ$2&gt;Input_Tidshorisont,BlankTegn,IF(CQ$2=0,SUM(Materialedata[[#This Row],[A1-A3/m²]:[A4/m²]]),
CP34+IF(CQ$2=Input_Tidshorisont,SUM(Materialedata[[#This Row],[C3/m²]:[C4/m²]]),IF(MOD(CQ$2,Materialedata[[#This Row],[Levetid]])=0,SUM(Materialedata[[#This Row],[A1-A3/m²]:[C4/m²]]),0))
))</f>
        <v>.</v>
      </c>
      <c r="CR34" s="141" t="str">
        <f>IF(CR$2&gt;Input_Tidshorisont,BlankTegn,IF(CR$2=0,SUM(Materialedata[[#This Row],[A1-A3/m²]:[A4/m²]]),
CQ34+IF(CR$2=Input_Tidshorisont,SUM(Materialedata[[#This Row],[C3/m²]:[C4/m²]]),IF(MOD(CR$2,Materialedata[[#This Row],[Levetid]])=0,SUM(Materialedata[[#This Row],[A1-A3/m²]:[C4/m²]]),0))
))</f>
        <v>.</v>
      </c>
      <c r="CS34" s="141" t="str">
        <f>IF(CS$2&gt;Input_Tidshorisont,BlankTegn,IF(CS$2=0,SUM(Materialedata[[#This Row],[A1-A3/m²]:[A4/m²]]),
CR34+IF(CS$2=Input_Tidshorisont,SUM(Materialedata[[#This Row],[C3/m²]:[C4/m²]]),IF(MOD(CS$2,Materialedata[[#This Row],[Levetid]])=0,SUM(Materialedata[[#This Row],[A1-A3/m²]:[C4/m²]]),0))
))</f>
        <v>.</v>
      </c>
      <c r="CT34" s="141" t="str">
        <f>IF(CT$2&gt;Input_Tidshorisont,BlankTegn,IF(CT$2=0,SUM(Materialedata[[#This Row],[A1-A3/m²]:[A4/m²]]),
CS34+IF(CT$2=Input_Tidshorisont,SUM(Materialedata[[#This Row],[C3/m²]:[C4/m²]]),IF(MOD(CT$2,Materialedata[[#This Row],[Levetid]])=0,SUM(Materialedata[[#This Row],[A1-A3/m²]:[C4/m²]]),0))
))</f>
        <v>.</v>
      </c>
      <c r="CU34" s="141" t="str">
        <f>IF(CU$2&gt;Input_Tidshorisont,BlankTegn,IF(CU$2=0,SUM(Materialedata[[#This Row],[A1-A3/m²]:[A4/m²]]),
CT34+IF(CU$2=Input_Tidshorisont,SUM(Materialedata[[#This Row],[C3/m²]:[C4/m²]]),IF(MOD(CU$2,Materialedata[[#This Row],[Levetid]])=0,SUM(Materialedata[[#This Row],[A1-A3/m²]:[C4/m²]]),0))
))</f>
        <v>.</v>
      </c>
      <c r="CV34" s="141" t="str">
        <f>IF(CV$2&gt;Input_Tidshorisont,BlankTegn,IF(CV$2=0,SUM(Materialedata[[#This Row],[A1-A3/m²]:[A4/m²]]),
CU34+IF(CV$2=Input_Tidshorisont,SUM(Materialedata[[#This Row],[C3/m²]:[C4/m²]]),IF(MOD(CV$2,Materialedata[[#This Row],[Levetid]])=0,SUM(Materialedata[[#This Row],[A1-A3/m²]:[C4/m²]]),0))
))</f>
        <v>.</v>
      </c>
      <c r="CW34" s="141" t="str">
        <f>IF(CW$2&gt;Input_Tidshorisont,BlankTegn,IF(CW$2=0,SUM(Materialedata[[#This Row],[A1-A3/m²]:[A4/m²]]),
CV34+IF(CW$2=Input_Tidshorisont,SUM(Materialedata[[#This Row],[C3/m²]:[C4/m²]]),IF(MOD(CW$2,Materialedata[[#This Row],[Levetid]])=0,SUM(Materialedata[[#This Row],[A1-A3/m²]:[C4/m²]]),0))
))</f>
        <v>.</v>
      </c>
      <c r="CX34" s="141" t="str">
        <f>IF(CX$2&gt;Input_Tidshorisont,BlankTegn,IF(CX$2=0,SUM(Materialedata[[#This Row],[A1-A3/m²]:[A4/m²]]),
CW34+IF(CX$2=Input_Tidshorisont,SUM(Materialedata[[#This Row],[C3/m²]:[C4/m²]]),IF(MOD(CX$2,Materialedata[[#This Row],[Levetid]])=0,SUM(Materialedata[[#This Row],[A1-A3/m²]:[C4/m²]]),0))
))</f>
        <v>.</v>
      </c>
      <c r="CY34" s="141" t="str">
        <f>IF(CY$2&gt;Input_Tidshorisont,BlankTegn,IF(CY$2=0,SUM(Materialedata[[#This Row],[A1-A3/m²]:[A4/m²]]),
CX34+IF(CY$2=Input_Tidshorisont,SUM(Materialedata[[#This Row],[C3/m²]:[C4/m²]]),IF(MOD(CY$2,Materialedata[[#This Row],[Levetid]])=0,SUM(Materialedata[[#This Row],[A1-A3/m²]:[C4/m²]]),0))
))</f>
        <v>.</v>
      </c>
      <c r="CZ34" s="141" t="str">
        <f>IF(CZ$2&gt;Input_Tidshorisont,BlankTegn,IF(CZ$2=0,SUM(Materialedata[[#This Row],[A1-A3/m²]:[A4/m²]]),
CY34+IF(CZ$2=Input_Tidshorisont,SUM(Materialedata[[#This Row],[C3/m²]:[C4/m²]]),IF(MOD(CZ$2,Materialedata[[#This Row],[Levetid]])=0,SUM(Materialedata[[#This Row],[A1-A3/m²]:[C4/m²]]),0))
))</f>
        <v>.</v>
      </c>
      <c r="DA34" s="141" t="str">
        <f>IF(DA$2&gt;Input_Tidshorisont,BlankTegn,IF(DA$2=0,SUM(Materialedata[[#This Row],[A1-A3/m²]:[A4/m²]]),
CZ34+IF(DA$2=Input_Tidshorisont,SUM(Materialedata[[#This Row],[C3/m²]:[C4/m²]]),IF(MOD(DA$2,Materialedata[[#This Row],[Levetid]])=0,SUM(Materialedata[[#This Row],[A1-A3/m²]:[C4/m²]]),0))
))</f>
        <v>.</v>
      </c>
      <c r="DB34" s="141" t="str">
        <f>IF(DB$2&gt;Input_Tidshorisont,BlankTegn,IF(DB$2=0,SUM(Materialedata[[#This Row],[A1-A3/m²]:[A4/m²]]),
DA34+IF(DB$2=Input_Tidshorisont,SUM(Materialedata[[#This Row],[C3/m²]:[C4/m²]]),IF(MOD(DB$2,Materialedata[[#This Row],[Levetid]])=0,SUM(Materialedata[[#This Row],[A1-A3/m²]:[C4/m²]]),0))
))</f>
        <v>.</v>
      </c>
      <c r="DC34" s="141" t="str">
        <f>IF(DC$2&gt;Input_Tidshorisont,BlankTegn,IF(DC$2=0,SUM(Materialedata[[#This Row],[A1-A3/m²]:[A4/m²]]),
DB34+IF(DC$2=Input_Tidshorisont,SUM(Materialedata[[#This Row],[C3/m²]:[C4/m²]]),IF(MOD(DC$2,Materialedata[[#This Row],[Levetid]])=0,SUM(Materialedata[[#This Row],[A1-A3/m²]:[C4/m²]]),0))
))</f>
        <v>.</v>
      </c>
      <c r="DD34" s="141" t="str">
        <f>IF(DD$2&gt;Input_Tidshorisont,BlankTegn,IF(DD$2=0,SUM(Materialedata[[#This Row],[A1-A3/m²]:[A4/m²]]),
DC34+IF(DD$2=Input_Tidshorisont,SUM(Materialedata[[#This Row],[C3/m²]:[C4/m²]]),IF(MOD(DD$2,Materialedata[[#This Row],[Levetid]])=0,SUM(Materialedata[[#This Row],[A1-A3/m²]:[C4/m²]]),0))
))</f>
        <v>.</v>
      </c>
      <c r="DE34" s="141" t="str">
        <f>IF(DE$2&gt;Input_Tidshorisont,BlankTegn,IF(DE$2=0,SUM(Materialedata[[#This Row],[A1-A3/m²]:[A4/m²]]),
DD34+IF(DE$2=Input_Tidshorisont,SUM(Materialedata[[#This Row],[C3/m²]:[C4/m²]]),IF(MOD(DE$2,Materialedata[[#This Row],[Levetid]])=0,SUM(Materialedata[[#This Row],[A1-A3/m²]:[C4/m²]]),0))
))</f>
        <v>.</v>
      </c>
      <c r="DF34" s="141" t="str">
        <f>IF(DF$2&gt;Input_Tidshorisont,BlankTegn,IF(DF$2=0,SUM(Materialedata[[#This Row],[A1-A3/m²]:[A4/m²]]),
DE34+IF(DF$2=Input_Tidshorisont,SUM(Materialedata[[#This Row],[C3/m²]:[C4/m²]]),IF(MOD(DF$2,Materialedata[[#This Row],[Levetid]])=0,SUM(Materialedata[[#This Row],[A1-A3/m²]:[C4/m²]]),0))
))</f>
        <v>.</v>
      </c>
      <c r="DG34" s="141" t="str">
        <f>IF(DG$2&gt;Input_Tidshorisont,BlankTegn,IF(DG$2=0,SUM(Materialedata[[#This Row],[A1-A3/m²]:[A4/m²]]),
DF34+IF(DG$2=Input_Tidshorisont,SUM(Materialedata[[#This Row],[C3/m²]:[C4/m²]]),IF(MOD(DG$2,Materialedata[[#This Row],[Levetid]])=0,SUM(Materialedata[[#This Row],[A1-A3/m²]:[C4/m²]]),0))
))</f>
        <v>.</v>
      </c>
      <c r="DH34" s="141" t="str">
        <f>IF(DH$2&gt;Input_Tidshorisont,BlankTegn,IF(DH$2=0,SUM(Materialedata[[#This Row],[A1-A3/m²]:[A4/m²]]),
DG34+IF(DH$2=Input_Tidshorisont,SUM(Materialedata[[#This Row],[C3/m²]:[C4/m²]]),IF(MOD(DH$2,Materialedata[[#This Row],[Levetid]])=0,SUM(Materialedata[[#This Row],[A1-A3/m²]:[C4/m²]]),0))
))</f>
        <v>.</v>
      </c>
      <c r="DI34" s="141" t="str">
        <f>IF(DI$2&gt;Input_Tidshorisont,BlankTegn,IF(DI$2=0,SUM(Materialedata[[#This Row],[A1-A3/m²]:[A4/m²]]),
DH34+IF(DI$2=Input_Tidshorisont,SUM(Materialedata[[#This Row],[C3/m²]:[C4/m²]]),IF(MOD(DI$2,Materialedata[[#This Row],[Levetid]])=0,SUM(Materialedata[[#This Row],[A1-A3/m²]:[C4/m²]]),0))
))</f>
        <v>.</v>
      </c>
      <c r="DJ34" s="141" t="str">
        <f>IF(DJ$2&gt;Input_Tidshorisont,BlankTegn,IF(DJ$2=0,SUM(Materialedata[[#This Row],[A1-A3/m²]:[A4/m²]]),
DI34+IF(DJ$2=Input_Tidshorisont,SUM(Materialedata[[#This Row],[C3/m²]:[C4/m²]]),IF(MOD(DJ$2,Materialedata[[#This Row],[Levetid]])=0,SUM(Materialedata[[#This Row],[A1-A3/m²]:[C4/m²]]),0))
))</f>
        <v>.</v>
      </c>
      <c r="DK34" s="141" t="str">
        <f>IF(DK$2&gt;Input_Tidshorisont,BlankTegn,IF(DK$2=0,SUM(Materialedata[[#This Row],[A1-A3/m²]:[A4/m²]]),
DJ34+IF(DK$2=Input_Tidshorisont,SUM(Materialedata[[#This Row],[C3/m²]:[C4/m²]]),IF(MOD(DK$2,Materialedata[[#This Row],[Levetid]])=0,SUM(Materialedata[[#This Row],[A1-A3/m²]:[C4/m²]]),0))
))</f>
        <v>.</v>
      </c>
      <c r="DL34" s="141" t="str">
        <f>IF(DL$2&gt;Input_Tidshorisont,BlankTegn,IF(DL$2=0,SUM(Materialedata[[#This Row],[A1-A3/m²]:[A4/m²]]),
DK34+IF(DL$2=Input_Tidshorisont,SUM(Materialedata[[#This Row],[C3/m²]:[C4/m²]]),IF(MOD(DL$2,Materialedata[[#This Row],[Levetid]])=0,SUM(Materialedata[[#This Row],[A1-A3/m²]:[C4/m²]]),0))
))</f>
        <v>.</v>
      </c>
      <c r="DM34" s="19"/>
    </row>
    <row r="35" spans="1:117" ht="24">
      <c r="A35" s="182" t="s">
        <v>248</v>
      </c>
      <c r="B35" s="182" t="s">
        <v>175</v>
      </c>
      <c r="C35" s="148" t="s">
        <v>131</v>
      </c>
      <c r="D35" s="148" t="s">
        <v>302</v>
      </c>
      <c r="E35" s="180" t="s">
        <v>312</v>
      </c>
      <c r="F35" s="182" t="s">
        <v>165</v>
      </c>
      <c r="G35" s="182">
        <v>60</v>
      </c>
      <c r="H35" s="183">
        <v>50</v>
      </c>
      <c r="I35" s="184">
        <f>0.2*1*1</f>
        <v>0.2</v>
      </c>
      <c r="J35" s="184" t="s">
        <v>232</v>
      </c>
      <c r="K35" s="182">
        <v>-2.14</v>
      </c>
      <c r="L35" s="182" t="s">
        <v>220</v>
      </c>
      <c r="M35" s="185">
        <f>IF(ISBLANK(Materialedata[[#This Row],[A4-gruppe]]),BlankTegn,INDEX(Byggeproces[GWP],MATCH(Materialedata[[#This Row],[A4-gruppe]],Byggeproces[Gruppe/Undergruppe],0)))</f>
        <v>9.1999999999999998E-2</v>
      </c>
      <c r="N35" s="182">
        <v>3.22</v>
      </c>
      <c r="O35" s="182">
        <v>2.7399999999999999E-4</v>
      </c>
      <c r="P35" s="182">
        <v>-0.182</v>
      </c>
      <c r="Q35" s="277">
        <f>Materialedata[[#This Row],[A1-A3/standardenhed]]/0.037*0.2</f>
        <v>-11.56756756756757</v>
      </c>
      <c r="R35" s="278" cm="1">
        <f t="array" ref="R35">IFERROR(_xlfn.IFS(Materialedata[[#This Row],[Mængde-enhed]]="kg/m²",Materialedata[[#This Row],[A4/kg]]*Materialedata[[#This Row],[Mængde/m²]],Materialedata[[#This Row],[Mængde-enhed]]="m³/m²",Materialedata[[#This Row],[A4/kg]]*Materialedata[[#This Row],[Mængde/m²]]*Materialedata[[#This Row],[Densitet]]),"N/A")</f>
        <v>0.91999999999999993</v>
      </c>
      <c r="S35" s="277">
        <f>Materialedata[[#This Row],[C3/enhed]]/0.037*0.2</f>
        <v>17.405405405405407</v>
      </c>
      <c r="T35" s="277">
        <f>Materialedata[[#This Row],[C4/enhed]]/0.037*0.2</f>
        <v>1.4810810810810813E-3</v>
      </c>
      <c r="U35" s="277">
        <f>Materialedata[[#This Row],[D/enhed]]/0.037*0.2</f>
        <v>-0.98378378378378395</v>
      </c>
      <c r="V35" s="150">
        <f>IFERROR(INDEX(Range_Materiale_Genbrug,MATCH(Materialedata[[#This Row],[Komponent]],Facadekomponenter,0)),BlankTegn)</f>
        <v>0</v>
      </c>
      <c r="W35" s="150">
        <f>IFERROR(1-Materialedata[[#This Row],[Genbrug]],BlankTegn)</f>
        <v>1</v>
      </c>
      <c r="X35" s="186">
        <f>IFERROR(Materialedata[[#This Row],[A1-A3/m²_nyt]]*Materialedata[[#This Row],[Nyt]],BlankTegn)</f>
        <v>-11.56756756756757</v>
      </c>
      <c r="Y35" s="186">
        <f>Materialedata[[#This Row],[A4/m²_nyt]]</f>
        <v>0.91999999999999993</v>
      </c>
      <c r="Z35" s="186">
        <f>IFERROR(Materialedata[[#This Row],[C3/m²_nyt]]*Materialedata[[#This Row],[Nyt]],BlankTegn)</f>
        <v>17.405405405405407</v>
      </c>
      <c r="AA35" s="186">
        <f>IFERROR(Materialedata[[#This Row],[C4/m²_nyt]]*Materialedata[[#This Row],[Nyt]],BlankTegn)</f>
        <v>1.4810810810810813E-3</v>
      </c>
      <c r="AB35" s="186">
        <f>IFERROR(Materialedata[[#This Row],[D/m²_nyt]]*Materialedata[[#This Row],[Nyt]],BlankTegn)</f>
        <v>-0.98378378378378395</v>
      </c>
      <c r="AC35" s="187">
        <f>AC29*1.2</f>
        <v>266.10801770439002</v>
      </c>
      <c r="AD35" s="188" t="s">
        <v>29</v>
      </c>
      <c r="AE35" s="182">
        <v>1</v>
      </c>
      <c r="AF35" s="189">
        <f>Materialedata[[#This Row],[Pris/enhed]]*Materialedata[[#This Row],[Omregning]]</f>
        <v>266.10801770439002</v>
      </c>
      <c r="AG35" s="190">
        <v>0.02</v>
      </c>
      <c r="AH35" s="191">
        <v>1</v>
      </c>
      <c r="AI35" s="162">
        <v>0</v>
      </c>
      <c r="AJ35" s="141">
        <f>IF(AJ$2&gt;Input_Tidshorisont,BlankTegn,IF(AJ$2=0,SUM(Materialedata[[#This Row],[A1-A3/m²]:[A4/m²]]),
AI35+IF(AJ$2=Input_Tidshorisont,SUM(Materialedata[[#This Row],[C3/m²]:[C4/m²]]),IF(MOD(AJ$2,Materialedata[[#This Row],[Levetid]])=0,SUM(Materialedata[[#This Row],[A1-A3/m²]:[C4/m²]]),0))
))</f>
        <v>-10.64756756756757</v>
      </c>
      <c r="AK35" s="141">
        <f>IF(AK$2&gt;Input_Tidshorisont,BlankTegn,IF(AK$2=0,SUM(Materialedata[[#This Row],[A1-A3/m²]:[A4/m²]]),
AJ35+IF(AK$2=Input_Tidshorisont,SUM(Materialedata[[#This Row],[C3/m²]:[C4/m²]]),IF(MOD(AK$2,Materialedata[[#This Row],[Levetid]])=0,SUM(Materialedata[[#This Row],[A1-A3/m²]:[C4/m²]]),0))
))</f>
        <v>-10.64756756756757</v>
      </c>
      <c r="AL35" s="141">
        <f>IF(AL$2&gt;Input_Tidshorisont,BlankTegn,IF(AL$2=0,SUM(Materialedata[[#This Row],[A1-A3/m²]:[A4/m²]]),
AK35+IF(AL$2=Input_Tidshorisont,SUM(Materialedata[[#This Row],[C3/m²]:[C4/m²]]),IF(MOD(AL$2,Materialedata[[#This Row],[Levetid]])=0,SUM(Materialedata[[#This Row],[A1-A3/m²]:[C4/m²]]),0))
))</f>
        <v>-10.64756756756757</v>
      </c>
      <c r="AM35" s="141">
        <f>IF(AM$2&gt;Input_Tidshorisont,BlankTegn,IF(AM$2=0,SUM(Materialedata[[#This Row],[A1-A3/m²]:[A4/m²]]),
AL35+IF(AM$2=Input_Tidshorisont,SUM(Materialedata[[#This Row],[C3/m²]:[C4/m²]]),IF(MOD(AM$2,Materialedata[[#This Row],[Levetid]])=0,SUM(Materialedata[[#This Row],[A1-A3/m²]:[C4/m²]]),0))
))</f>
        <v>-10.64756756756757</v>
      </c>
      <c r="AN35" s="141">
        <f>IF(AN$2&gt;Input_Tidshorisont,BlankTegn,IF(AN$2=0,SUM(Materialedata[[#This Row],[A1-A3/m²]:[A4/m²]]),
AM35+IF(AN$2=Input_Tidshorisont,SUM(Materialedata[[#This Row],[C3/m²]:[C4/m²]]),IF(MOD(AN$2,Materialedata[[#This Row],[Levetid]])=0,SUM(Materialedata[[#This Row],[A1-A3/m²]:[C4/m²]]),0))
))</f>
        <v>-10.64756756756757</v>
      </c>
      <c r="AO35" s="141">
        <f>IF(AO$2&gt;Input_Tidshorisont,BlankTegn,IF(AO$2=0,SUM(Materialedata[[#This Row],[A1-A3/m²]:[A4/m²]]),
AN35+IF(AO$2=Input_Tidshorisont,SUM(Materialedata[[#This Row],[C3/m²]:[C4/m²]]),IF(MOD(AO$2,Materialedata[[#This Row],[Levetid]])=0,SUM(Materialedata[[#This Row],[A1-A3/m²]:[C4/m²]]),0))
))</f>
        <v>-10.64756756756757</v>
      </c>
      <c r="AP35" s="141">
        <f>IF(AP$2&gt;Input_Tidshorisont,BlankTegn,IF(AP$2=0,SUM(Materialedata[[#This Row],[A1-A3/m²]:[A4/m²]]),
AO35+IF(AP$2=Input_Tidshorisont,SUM(Materialedata[[#This Row],[C3/m²]:[C4/m²]]),IF(MOD(AP$2,Materialedata[[#This Row],[Levetid]])=0,SUM(Materialedata[[#This Row],[A1-A3/m²]:[C4/m²]]),0))
))</f>
        <v>-10.64756756756757</v>
      </c>
      <c r="AQ35" s="141">
        <f>IF(AQ$2&gt;Input_Tidshorisont,BlankTegn,IF(AQ$2=0,SUM(Materialedata[[#This Row],[A1-A3/m²]:[A4/m²]]),
AP35+IF(AQ$2=Input_Tidshorisont,SUM(Materialedata[[#This Row],[C3/m²]:[C4/m²]]),IF(MOD(AQ$2,Materialedata[[#This Row],[Levetid]])=0,SUM(Materialedata[[#This Row],[A1-A3/m²]:[C4/m²]]),0))
))</f>
        <v>-10.64756756756757</v>
      </c>
      <c r="AR35" s="141">
        <f>IF(AR$2&gt;Input_Tidshorisont,BlankTegn,IF(AR$2=0,SUM(Materialedata[[#This Row],[A1-A3/m²]:[A4/m²]]),
AQ35+IF(AR$2=Input_Tidshorisont,SUM(Materialedata[[#This Row],[C3/m²]:[C4/m²]]),IF(MOD(AR$2,Materialedata[[#This Row],[Levetid]])=0,SUM(Materialedata[[#This Row],[A1-A3/m²]:[C4/m²]]),0))
))</f>
        <v>-10.64756756756757</v>
      </c>
      <c r="AS35" s="141">
        <f>IF(AS$2&gt;Input_Tidshorisont,BlankTegn,IF(AS$2=0,SUM(Materialedata[[#This Row],[A1-A3/m²]:[A4/m²]]),
AR35+IF(AS$2=Input_Tidshorisont,SUM(Materialedata[[#This Row],[C3/m²]:[C4/m²]]),IF(MOD(AS$2,Materialedata[[#This Row],[Levetid]])=0,SUM(Materialedata[[#This Row],[A1-A3/m²]:[C4/m²]]),0))
))</f>
        <v>-10.64756756756757</v>
      </c>
      <c r="AT35" s="141">
        <f>IF(AT$2&gt;Input_Tidshorisont,BlankTegn,IF(AT$2=0,SUM(Materialedata[[#This Row],[A1-A3/m²]:[A4/m²]]),
AS35+IF(AT$2=Input_Tidshorisont,SUM(Materialedata[[#This Row],[C3/m²]:[C4/m²]]),IF(MOD(AT$2,Materialedata[[#This Row],[Levetid]])=0,SUM(Materialedata[[#This Row],[A1-A3/m²]:[C4/m²]]),0))
))</f>
        <v>-10.64756756756757</v>
      </c>
      <c r="AU35" s="141">
        <f>IF(AU$2&gt;Input_Tidshorisont,BlankTegn,IF(AU$2=0,SUM(Materialedata[[#This Row],[A1-A3/m²]:[A4/m²]]),
AT35+IF(AU$2=Input_Tidshorisont,SUM(Materialedata[[#This Row],[C3/m²]:[C4/m²]]),IF(MOD(AU$2,Materialedata[[#This Row],[Levetid]])=0,SUM(Materialedata[[#This Row],[A1-A3/m²]:[C4/m²]]),0))
))</f>
        <v>-10.64756756756757</v>
      </c>
      <c r="AV35" s="141">
        <f>IF(AV$2&gt;Input_Tidshorisont,BlankTegn,IF(AV$2=0,SUM(Materialedata[[#This Row],[A1-A3/m²]:[A4/m²]]),
AU35+IF(AV$2=Input_Tidshorisont,SUM(Materialedata[[#This Row],[C3/m²]:[C4/m²]]),IF(MOD(AV$2,Materialedata[[#This Row],[Levetid]])=0,SUM(Materialedata[[#This Row],[A1-A3/m²]:[C4/m²]]),0))
))</f>
        <v>-10.64756756756757</v>
      </c>
      <c r="AW35" s="141">
        <f>IF(AW$2&gt;Input_Tidshorisont,BlankTegn,IF(AW$2=0,SUM(Materialedata[[#This Row],[A1-A3/m²]:[A4/m²]]),
AV35+IF(AW$2=Input_Tidshorisont,SUM(Materialedata[[#This Row],[C3/m²]:[C4/m²]]),IF(MOD(AW$2,Materialedata[[#This Row],[Levetid]])=0,SUM(Materialedata[[#This Row],[A1-A3/m²]:[C4/m²]]),0))
))</f>
        <v>-10.64756756756757</v>
      </c>
      <c r="AX35" s="141">
        <f>IF(AX$2&gt;Input_Tidshorisont,BlankTegn,IF(AX$2=0,SUM(Materialedata[[#This Row],[A1-A3/m²]:[A4/m²]]),
AW35+IF(AX$2=Input_Tidshorisont,SUM(Materialedata[[#This Row],[C3/m²]:[C4/m²]]),IF(MOD(AX$2,Materialedata[[#This Row],[Levetid]])=0,SUM(Materialedata[[#This Row],[A1-A3/m²]:[C4/m²]]),0))
))</f>
        <v>-10.64756756756757</v>
      </c>
      <c r="AY35" s="141">
        <f>IF(AY$2&gt;Input_Tidshorisont,BlankTegn,IF(AY$2=0,SUM(Materialedata[[#This Row],[A1-A3/m²]:[A4/m²]]),
AX35+IF(AY$2=Input_Tidshorisont,SUM(Materialedata[[#This Row],[C3/m²]:[C4/m²]]),IF(MOD(AY$2,Materialedata[[#This Row],[Levetid]])=0,SUM(Materialedata[[#This Row],[A1-A3/m²]:[C4/m²]]),0))
))</f>
        <v>-10.64756756756757</v>
      </c>
      <c r="AZ35" s="141">
        <f>IF(AZ$2&gt;Input_Tidshorisont,BlankTegn,IF(AZ$2=0,SUM(Materialedata[[#This Row],[A1-A3/m²]:[A4/m²]]),
AY35+IF(AZ$2=Input_Tidshorisont,SUM(Materialedata[[#This Row],[C3/m²]:[C4/m²]]),IF(MOD(AZ$2,Materialedata[[#This Row],[Levetid]])=0,SUM(Materialedata[[#This Row],[A1-A3/m²]:[C4/m²]]),0))
))</f>
        <v>-10.64756756756757</v>
      </c>
      <c r="BA35" s="141">
        <f>IF(BA$2&gt;Input_Tidshorisont,BlankTegn,IF(BA$2=0,SUM(Materialedata[[#This Row],[A1-A3/m²]:[A4/m²]]),
AZ35+IF(BA$2=Input_Tidshorisont,SUM(Materialedata[[#This Row],[C3/m²]:[C4/m²]]),IF(MOD(BA$2,Materialedata[[#This Row],[Levetid]])=0,SUM(Materialedata[[#This Row],[A1-A3/m²]:[C4/m²]]),0))
))</f>
        <v>-10.64756756756757</v>
      </c>
      <c r="BB35" s="141">
        <f>IF(BB$2&gt;Input_Tidshorisont,BlankTegn,IF(BB$2=0,SUM(Materialedata[[#This Row],[A1-A3/m²]:[A4/m²]]),
BA35+IF(BB$2=Input_Tidshorisont,SUM(Materialedata[[#This Row],[C3/m²]:[C4/m²]]),IF(MOD(BB$2,Materialedata[[#This Row],[Levetid]])=0,SUM(Materialedata[[#This Row],[A1-A3/m²]:[C4/m²]]),0))
))</f>
        <v>-10.64756756756757</v>
      </c>
      <c r="BC35" s="141">
        <f>IF(BC$2&gt;Input_Tidshorisont,BlankTegn,IF(BC$2=0,SUM(Materialedata[[#This Row],[A1-A3/m²]:[A4/m²]]),
BB35+IF(BC$2=Input_Tidshorisont,SUM(Materialedata[[#This Row],[C3/m²]:[C4/m²]]),IF(MOD(BC$2,Materialedata[[#This Row],[Levetid]])=0,SUM(Materialedata[[#This Row],[A1-A3/m²]:[C4/m²]]),0))
))</f>
        <v>-10.64756756756757</v>
      </c>
      <c r="BD35" s="141">
        <f>IF(BD$2&gt;Input_Tidshorisont,BlankTegn,IF(BD$2=0,SUM(Materialedata[[#This Row],[A1-A3/m²]:[A4/m²]]),
BC35+IF(BD$2=Input_Tidshorisont,SUM(Materialedata[[#This Row],[C3/m²]:[C4/m²]]),IF(MOD(BD$2,Materialedata[[#This Row],[Levetid]])=0,SUM(Materialedata[[#This Row],[A1-A3/m²]:[C4/m²]]),0))
))</f>
        <v>-10.64756756756757</v>
      </c>
      <c r="BE35" s="141">
        <f>IF(BE$2&gt;Input_Tidshorisont,BlankTegn,IF(BE$2=0,SUM(Materialedata[[#This Row],[A1-A3/m²]:[A4/m²]]),
BD35+IF(BE$2=Input_Tidshorisont,SUM(Materialedata[[#This Row],[C3/m²]:[C4/m²]]),IF(MOD(BE$2,Materialedata[[#This Row],[Levetid]])=0,SUM(Materialedata[[#This Row],[A1-A3/m²]:[C4/m²]]),0))
))</f>
        <v>-10.64756756756757</v>
      </c>
      <c r="BF35" s="141">
        <f>IF(BF$2&gt;Input_Tidshorisont,BlankTegn,IF(BF$2=0,SUM(Materialedata[[#This Row],[A1-A3/m²]:[A4/m²]]),
BE35+IF(BF$2=Input_Tidshorisont,SUM(Materialedata[[#This Row],[C3/m²]:[C4/m²]]),IF(MOD(BF$2,Materialedata[[#This Row],[Levetid]])=0,SUM(Materialedata[[#This Row],[A1-A3/m²]:[C4/m²]]),0))
))</f>
        <v>-10.64756756756757</v>
      </c>
      <c r="BG35" s="141">
        <f>IF(BG$2&gt;Input_Tidshorisont,BlankTegn,IF(BG$2=0,SUM(Materialedata[[#This Row],[A1-A3/m²]:[A4/m²]]),
BF35+IF(BG$2=Input_Tidshorisont,SUM(Materialedata[[#This Row],[C3/m²]:[C4/m²]]),IF(MOD(BG$2,Materialedata[[#This Row],[Levetid]])=0,SUM(Materialedata[[#This Row],[A1-A3/m²]:[C4/m²]]),0))
))</f>
        <v>-10.64756756756757</v>
      </c>
      <c r="BH35" s="141">
        <f>IF(BH$2&gt;Input_Tidshorisont,BlankTegn,IF(BH$2=0,SUM(Materialedata[[#This Row],[A1-A3/m²]:[A4/m²]]),
BG35+IF(BH$2=Input_Tidshorisont,SUM(Materialedata[[#This Row],[C3/m²]:[C4/m²]]),IF(MOD(BH$2,Materialedata[[#This Row],[Levetid]])=0,SUM(Materialedata[[#This Row],[A1-A3/m²]:[C4/m²]]),0))
))</f>
        <v>-10.64756756756757</v>
      </c>
      <c r="BI35" s="141">
        <f>IF(BI$2&gt;Input_Tidshorisont,BlankTegn,IF(BI$2=0,SUM(Materialedata[[#This Row],[A1-A3/m²]:[A4/m²]]),
BH35+IF(BI$2=Input_Tidshorisont,SUM(Materialedata[[#This Row],[C3/m²]:[C4/m²]]),IF(MOD(BI$2,Materialedata[[#This Row],[Levetid]])=0,SUM(Materialedata[[#This Row],[A1-A3/m²]:[C4/m²]]),0))
))</f>
        <v>-10.64756756756757</v>
      </c>
      <c r="BJ35" s="141">
        <f>IF(BJ$2&gt;Input_Tidshorisont,BlankTegn,IF(BJ$2=0,SUM(Materialedata[[#This Row],[A1-A3/m²]:[A4/m²]]),
BI35+IF(BJ$2=Input_Tidshorisont,SUM(Materialedata[[#This Row],[C3/m²]:[C4/m²]]),IF(MOD(BJ$2,Materialedata[[#This Row],[Levetid]])=0,SUM(Materialedata[[#This Row],[A1-A3/m²]:[C4/m²]]),0))
))</f>
        <v>-10.64756756756757</v>
      </c>
      <c r="BK35" s="141">
        <f>IF(BK$2&gt;Input_Tidshorisont,BlankTegn,IF(BK$2=0,SUM(Materialedata[[#This Row],[A1-A3/m²]:[A4/m²]]),
BJ35+IF(BK$2=Input_Tidshorisont,SUM(Materialedata[[#This Row],[C3/m²]:[C4/m²]]),IF(MOD(BK$2,Materialedata[[#This Row],[Levetid]])=0,SUM(Materialedata[[#This Row],[A1-A3/m²]:[C4/m²]]),0))
))</f>
        <v>-10.64756756756757</v>
      </c>
      <c r="BL35" s="141">
        <f>IF(BL$2&gt;Input_Tidshorisont,BlankTegn,IF(BL$2=0,SUM(Materialedata[[#This Row],[A1-A3/m²]:[A4/m²]]),
BK35+IF(BL$2=Input_Tidshorisont,SUM(Materialedata[[#This Row],[C3/m²]:[C4/m²]]),IF(MOD(BL$2,Materialedata[[#This Row],[Levetid]])=0,SUM(Materialedata[[#This Row],[A1-A3/m²]:[C4/m²]]),0))
))</f>
        <v>-10.64756756756757</v>
      </c>
      <c r="BM35" s="141">
        <f>IF(BM$2&gt;Input_Tidshorisont,BlankTegn,IF(BM$2=0,SUM(Materialedata[[#This Row],[A1-A3/m²]:[A4/m²]]),
BL35+IF(BM$2=Input_Tidshorisont,SUM(Materialedata[[#This Row],[C3/m²]:[C4/m²]]),IF(MOD(BM$2,Materialedata[[#This Row],[Levetid]])=0,SUM(Materialedata[[#This Row],[A1-A3/m²]:[C4/m²]]),0))
))</f>
        <v>-10.64756756756757</v>
      </c>
      <c r="BN35" s="141">
        <f>IF(BN$2&gt;Input_Tidshorisont,BlankTegn,IF(BN$2=0,SUM(Materialedata[[#This Row],[A1-A3/m²]:[A4/m²]]),
BM35+IF(BN$2=Input_Tidshorisont,SUM(Materialedata[[#This Row],[C3/m²]:[C4/m²]]),IF(MOD(BN$2,Materialedata[[#This Row],[Levetid]])=0,SUM(Materialedata[[#This Row],[A1-A3/m²]:[C4/m²]]),0))
))</f>
        <v>-10.64756756756757</v>
      </c>
      <c r="BO35" s="141">
        <f>IF(BO$2&gt;Input_Tidshorisont,BlankTegn,IF(BO$2=0,SUM(Materialedata[[#This Row],[A1-A3/m²]:[A4/m²]]),
BN35+IF(BO$2=Input_Tidshorisont,SUM(Materialedata[[#This Row],[C3/m²]:[C4/m²]]),IF(MOD(BO$2,Materialedata[[#This Row],[Levetid]])=0,SUM(Materialedata[[#This Row],[A1-A3/m²]:[C4/m²]]),0))
))</f>
        <v>-10.64756756756757</v>
      </c>
      <c r="BP35" s="141">
        <f>IF(BP$2&gt;Input_Tidshorisont,BlankTegn,IF(BP$2=0,SUM(Materialedata[[#This Row],[A1-A3/m²]:[A4/m²]]),
BO35+IF(BP$2=Input_Tidshorisont,SUM(Materialedata[[#This Row],[C3/m²]:[C4/m²]]),IF(MOD(BP$2,Materialedata[[#This Row],[Levetid]])=0,SUM(Materialedata[[#This Row],[A1-A3/m²]:[C4/m²]]),0))
))</f>
        <v>-10.64756756756757</v>
      </c>
      <c r="BQ35" s="141">
        <f>IF(BQ$2&gt;Input_Tidshorisont,BlankTegn,IF(BQ$2=0,SUM(Materialedata[[#This Row],[A1-A3/m²]:[A4/m²]]),
BP35+IF(BQ$2=Input_Tidshorisont,SUM(Materialedata[[#This Row],[C3/m²]:[C4/m²]]),IF(MOD(BQ$2,Materialedata[[#This Row],[Levetid]])=0,SUM(Materialedata[[#This Row],[A1-A3/m²]:[C4/m²]]),0))
))</f>
        <v>-10.64756756756757</v>
      </c>
      <c r="BR35" s="141">
        <f>IF(BR$2&gt;Input_Tidshorisont,BlankTegn,IF(BR$2=0,SUM(Materialedata[[#This Row],[A1-A3/m²]:[A4/m²]]),
BQ35+IF(BR$2=Input_Tidshorisont,SUM(Materialedata[[#This Row],[C3/m²]:[C4/m²]]),IF(MOD(BR$2,Materialedata[[#This Row],[Levetid]])=0,SUM(Materialedata[[#This Row],[A1-A3/m²]:[C4/m²]]),0))
))</f>
        <v>-10.64756756756757</v>
      </c>
      <c r="BS35" s="141">
        <f>IF(BS$2&gt;Input_Tidshorisont,BlankTegn,IF(BS$2=0,SUM(Materialedata[[#This Row],[A1-A3/m²]:[A4/m²]]),
BR35+IF(BS$2=Input_Tidshorisont,SUM(Materialedata[[#This Row],[C3/m²]:[C4/m²]]),IF(MOD(BS$2,Materialedata[[#This Row],[Levetid]])=0,SUM(Materialedata[[#This Row],[A1-A3/m²]:[C4/m²]]),0))
))</f>
        <v>-10.64756756756757</v>
      </c>
      <c r="BT35" s="141">
        <f>IF(BT$2&gt;Input_Tidshorisont,BlankTegn,IF(BT$2=0,SUM(Materialedata[[#This Row],[A1-A3/m²]:[A4/m²]]),
BS35+IF(BT$2=Input_Tidshorisont,SUM(Materialedata[[#This Row],[C3/m²]:[C4/m²]]),IF(MOD(BT$2,Materialedata[[#This Row],[Levetid]])=0,SUM(Materialedata[[#This Row],[A1-A3/m²]:[C4/m²]]),0))
))</f>
        <v>-10.64756756756757</v>
      </c>
      <c r="BU35" s="141">
        <f>IF(BU$2&gt;Input_Tidshorisont,BlankTegn,IF(BU$2=0,SUM(Materialedata[[#This Row],[A1-A3/m²]:[A4/m²]]),
BT35+IF(BU$2=Input_Tidshorisont,SUM(Materialedata[[#This Row],[C3/m²]:[C4/m²]]),IF(MOD(BU$2,Materialedata[[#This Row],[Levetid]])=0,SUM(Materialedata[[#This Row],[A1-A3/m²]:[C4/m²]]),0))
))</f>
        <v>-10.64756756756757</v>
      </c>
      <c r="BV35" s="141">
        <f>IF(BV$2&gt;Input_Tidshorisont,BlankTegn,IF(BV$2=0,SUM(Materialedata[[#This Row],[A1-A3/m²]:[A4/m²]]),
BU35+IF(BV$2=Input_Tidshorisont,SUM(Materialedata[[#This Row],[C3/m²]:[C4/m²]]),IF(MOD(BV$2,Materialedata[[#This Row],[Levetid]])=0,SUM(Materialedata[[#This Row],[A1-A3/m²]:[C4/m²]]),0))
))</f>
        <v>-10.64756756756757</v>
      </c>
      <c r="BW35" s="141">
        <f>IF(BW$2&gt;Input_Tidshorisont,BlankTegn,IF(BW$2=0,SUM(Materialedata[[#This Row],[A1-A3/m²]:[A4/m²]]),
BV35+IF(BW$2=Input_Tidshorisont,SUM(Materialedata[[#This Row],[C3/m²]:[C4/m²]]),IF(MOD(BW$2,Materialedata[[#This Row],[Levetid]])=0,SUM(Materialedata[[#This Row],[A1-A3/m²]:[C4/m²]]),0))
))</f>
        <v>-10.64756756756757</v>
      </c>
      <c r="BX35" s="141">
        <f>IF(BX$2&gt;Input_Tidshorisont,BlankTegn,IF(BX$2=0,SUM(Materialedata[[#This Row],[A1-A3/m²]:[A4/m²]]),
BW35+IF(BX$2=Input_Tidshorisont,SUM(Materialedata[[#This Row],[C3/m²]:[C4/m²]]),IF(MOD(BX$2,Materialedata[[#This Row],[Levetid]])=0,SUM(Materialedata[[#This Row],[A1-A3/m²]:[C4/m²]]),0))
))</f>
        <v>-10.64756756756757</v>
      </c>
      <c r="BY35" s="141">
        <f>IF(BY$2&gt;Input_Tidshorisont,BlankTegn,IF(BY$2=0,SUM(Materialedata[[#This Row],[A1-A3/m²]:[A4/m²]]),
BX35+IF(BY$2=Input_Tidshorisont,SUM(Materialedata[[#This Row],[C3/m²]:[C4/m²]]),IF(MOD(BY$2,Materialedata[[#This Row],[Levetid]])=0,SUM(Materialedata[[#This Row],[A1-A3/m²]:[C4/m²]]),0))
))</f>
        <v>-10.64756756756757</v>
      </c>
      <c r="BZ35" s="141">
        <f>IF(BZ$2&gt;Input_Tidshorisont,BlankTegn,IF(BZ$2=0,SUM(Materialedata[[#This Row],[A1-A3/m²]:[A4/m²]]),
BY35+IF(BZ$2=Input_Tidshorisont,SUM(Materialedata[[#This Row],[C3/m²]:[C4/m²]]),IF(MOD(BZ$2,Materialedata[[#This Row],[Levetid]])=0,SUM(Materialedata[[#This Row],[A1-A3/m²]:[C4/m²]]),0))
))</f>
        <v>-10.64756756756757</v>
      </c>
      <c r="CA35" s="141">
        <f>IF(CA$2&gt;Input_Tidshorisont,BlankTegn,IF(CA$2=0,SUM(Materialedata[[#This Row],[A1-A3/m²]:[A4/m²]]),
BZ35+IF(CA$2=Input_Tidshorisont,SUM(Materialedata[[#This Row],[C3/m²]:[C4/m²]]),IF(MOD(CA$2,Materialedata[[#This Row],[Levetid]])=0,SUM(Materialedata[[#This Row],[A1-A3/m²]:[C4/m²]]),0))
))</f>
        <v>-10.64756756756757</v>
      </c>
      <c r="CB35" s="141">
        <f>IF(CB$2&gt;Input_Tidshorisont,BlankTegn,IF(CB$2=0,SUM(Materialedata[[#This Row],[A1-A3/m²]:[A4/m²]]),
CA35+IF(CB$2=Input_Tidshorisont,SUM(Materialedata[[#This Row],[C3/m²]:[C4/m²]]),IF(MOD(CB$2,Materialedata[[#This Row],[Levetid]])=0,SUM(Materialedata[[#This Row],[A1-A3/m²]:[C4/m²]]),0))
))</f>
        <v>-10.64756756756757</v>
      </c>
      <c r="CC35" s="141">
        <f>IF(CC$2&gt;Input_Tidshorisont,BlankTegn,IF(CC$2=0,SUM(Materialedata[[#This Row],[A1-A3/m²]:[A4/m²]]),
CB35+IF(CC$2=Input_Tidshorisont,SUM(Materialedata[[#This Row],[C3/m²]:[C4/m²]]),IF(MOD(CC$2,Materialedata[[#This Row],[Levetid]])=0,SUM(Materialedata[[#This Row],[A1-A3/m²]:[C4/m²]]),0))
))</f>
        <v>-10.64756756756757</v>
      </c>
      <c r="CD35" s="141">
        <f>IF(CD$2&gt;Input_Tidshorisont,BlankTegn,IF(CD$2=0,SUM(Materialedata[[#This Row],[A1-A3/m²]:[A4/m²]]),
CC35+IF(CD$2=Input_Tidshorisont,SUM(Materialedata[[#This Row],[C3/m²]:[C4/m²]]),IF(MOD(CD$2,Materialedata[[#This Row],[Levetid]])=0,SUM(Materialedata[[#This Row],[A1-A3/m²]:[C4/m²]]),0))
))</f>
        <v>-10.64756756756757</v>
      </c>
      <c r="CE35" s="141">
        <f>IF(CE$2&gt;Input_Tidshorisont,BlankTegn,IF(CE$2=0,SUM(Materialedata[[#This Row],[A1-A3/m²]:[A4/m²]]),
CD35+IF(CE$2=Input_Tidshorisont,SUM(Materialedata[[#This Row],[C3/m²]:[C4/m²]]),IF(MOD(CE$2,Materialedata[[#This Row],[Levetid]])=0,SUM(Materialedata[[#This Row],[A1-A3/m²]:[C4/m²]]),0))
))</f>
        <v>-10.64756756756757</v>
      </c>
      <c r="CF35" s="141">
        <f>IF(CF$2&gt;Input_Tidshorisont,BlankTegn,IF(CF$2=0,SUM(Materialedata[[#This Row],[A1-A3/m²]:[A4/m²]]),
CE35+IF(CF$2=Input_Tidshorisont,SUM(Materialedata[[#This Row],[C3/m²]:[C4/m²]]),IF(MOD(CF$2,Materialedata[[#This Row],[Levetid]])=0,SUM(Materialedata[[#This Row],[A1-A3/m²]:[C4/m²]]),0))
))</f>
        <v>-10.64756756756757</v>
      </c>
      <c r="CG35" s="141">
        <f>IF(CG$2&gt;Input_Tidshorisont,BlankTegn,IF(CG$2=0,SUM(Materialedata[[#This Row],[A1-A3/m²]:[A4/m²]]),
CF35+IF(CG$2=Input_Tidshorisont,SUM(Materialedata[[#This Row],[C3/m²]:[C4/m²]]),IF(MOD(CG$2,Materialedata[[#This Row],[Levetid]])=0,SUM(Materialedata[[#This Row],[A1-A3/m²]:[C4/m²]]),0))
))</f>
        <v>-10.64756756756757</v>
      </c>
      <c r="CH35" s="141">
        <f>IF(CH$2&gt;Input_Tidshorisont,BlankTegn,IF(CH$2=0,SUM(Materialedata[[#This Row],[A1-A3/m²]:[A4/m²]]),
CG35+IF(CH$2=Input_Tidshorisont,SUM(Materialedata[[#This Row],[C3/m²]:[C4/m²]]),IF(MOD(CH$2,Materialedata[[#This Row],[Levetid]])=0,SUM(Materialedata[[#This Row],[A1-A3/m²]:[C4/m²]]),0))
))</f>
        <v>6.7593189189189182</v>
      </c>
      <c r="CI35" s="141" t="str">
        <f>IF(CI$2&gt;Input_Tidshorisont,BlankTegn,IF(CI$2=0,SUM(Materialedata[[#This Row],[A1-A3/m²]:[A4/m²]]),
CH35+IF(CI$2=Input_Tidshorisont,SUM(Materialedata[[#This Row],[C3/m²]:[C4/m²]]),IF(MOD(CI$2,Materialedata[[#This Row],[Levetid]])=0,SUM(Materialedata[[#This Row],[A1-A3/m²]:[C4/m²]]),0))
))</f>
        <v>.</v>
      </c>
      <c r="CJ35" s="141" t="str">
        <f>IF(CJ$2&gt;Input_Tidshorisont,BlankTegn,IF(CJ$2=0,SUM(Materialedata[[#This Row],[A1-A3/m²]:[A4/m²]]),
CI35+IF(CJ$2=Input_Tidshorisont,SUM(Materialedata[[#This Row],[C3/m²]:[C4/m²]]),IF(MOD(CJ$2,Materialedata[[#This Row],[Levetid]])=0,SUM(Materialedata[[#This Row],[A1-A3/m²]:[C4/m²]]),0))
))</f>
        <v>.</v>
      </c>
      <c r="CK35" s="141" t="str">
        <f>IF(CK$2&gt;Input_Tidshorisont,BlankTegn,IF(CK$2=0,SUM(Materialedata[[#This Row],[A1-A3/m²]:[A4/m²]]),
CJ35+IF(CK$2=Input_Tidshorisont,SUM(Materialedata[[#This Row],[C3/m²]:[C4/m²]]),IF(MOD(CK$2,Materialedata[[#This Row],[Levetid]])=0,SUM(Materialedata[[#This Row],[A1-A3/m²]:[C4/m²]]),0))
))</f>
        <v>.</v>
      </c>
      <c r="CL35" s="141" t="str">
        <f>IF(CL$2&gt;Input_Tidshorisont,BlankTegn,IF(CL$2=0,SUM(Materialedata[[#This Row],[A1-A3/m²]:[A4/m²]]),
CK35+IF(CL$2=Input_Tidshorisont,SUM(Materialedata[[#This Row],[C3/m²]:[C4/m²]]),IF(MOD(CL$2,Materialedata[[#This Row],[Levetid]])=0,SUM(Materialedata[[#This Row],[A1-A3/m²]:[C4/m²]]),0))
))</f>
        <v>.</v>
      </c>
      <c r="CM35" s="141" t="str">
        <f>IF(CM$2&gt;Input_Tidshorisont,BlankTegn,IF(CM$2=0,SUM(Materialedata[[#This Row],[A1-A3/m²]:[A4/m²]]),
CL35+IF(CM$2=Input_Tidshorisont,SUM(Materialedata[[#This Row],[C3/m²]:[C4/m²]]),IF(MOD(CM$2,Materialedata[[#This Row],[Levetid]])=0,SUM(Materialedata[[#This Row],[A1-A3/m²]:[C4/m²]]),0))
))</f>
        <v>.</v>
      </c>
      <c r="CN35" s="141" t="str">
        <f>IF(CN$2&gt;Input_Tidshorisont,BlankTegn,IF(CN$2=0,SUM(Materialedata[[#This Row],[A1-A3/m²]:[A4/m²]]),
CM35+IF(CN$2=Input_Tidshorisont,SUM(Materialedata[[#This Row],[C3/m²]:[C4/m²]]),IF(MOD(CN$2,Materialedata[[#This Row],[Levetid]])=0,SUM(Materialedata[[#This Row],[A1-A3/m²]:[C4/m²]]),0))
))</f>
        <v>.</v>
      </c>
      <c r="CO35" s="141" t="str">
        <f>IF(CO$2&gt;Input_Tidshorisont,BlankTegn,IF(CO$2=0,SUM(Materialedata[[#This Row],[A1-A3/m²]:[A4/m²]]),
CN35+IF(CO$2=Input_Tidshorisont,SUM(Materialedata[[#This Row],[C3/m²]:[C4/m²]]),IF(MOD(CO$2,Materialedata[[#This Row],[Levetid]])=0,SUM(Materialedata[[#This Row],[A1-A3/m²]:[C4/m²]]),0))
))</f>
        <v>.</v>
      </c>
      <c r="CP35" s="141" t="str">
        <f>IF(CP$2&gt;Input_Tidshorisont,BlankTegn,IF(CP$2=0,SUM(Materialedata[[#This Row],[A1-A3/m²]:[A4/m²]]),
CO35+IF(CP$2=Input_Tidshorisont,SUM(Materialedata[[#This Row],[C3/m²]:[C4/m²]]),IF(MOD(CP$2,Materialedata[[#This Row],[Levetid]])=0,SUM(Materialedata[[#This Row],[A1-A3/m²]:[C4/m²]]),0))
))</f>
        <v>.</v>
      </c>
      <c r="CQ35" s="141" t="str">
        <f>IF(CQ$2&gt;Input_Tidshorisont,BlankTegn,IF(CQ$2=0,SUM(Materialedata[[#This Row],[A1-A3/m²]:[A4/m²]]),
CP35+IF(CQ$2=Input_Tidshorisont,SUM(Materialedata[[#This Row],[C3/m²]:[C4/m²]]),IF(MOD(CQ$2,Materialedata[[#This Row],[Levetid]])=0,SUM(Materialedata[[#This Row],[A1-A3/m²]:[C4/m²]]),0))
))</f>
        <v>.</v>
      </c>
      <c r="CR35" s="141" t="str">
        <f>IF(CR$2&gt;Input_Tidshorisont,BlankTegn,IF(CR$2=0,SUM(Materialedata[[#This Row],[A1-A3/m²]:[A4/m²]]),
CQ35+IF(CR$2=Input_Tidshorisont,SUM(Materialedata[[#This Row],[C3/m²]:[C4/m²]]),IF(MOD(CR$2,Materialedata[[#This Row],[Levetid]])=0,SUM(Materialedata[[#This Row],[A1-A3/m²]:[C4/m²]]),0))
))</f>
        <v>.</v>
      </c>
      <c r="CS35" s="141" t="str">
        <f>IF(CS$2&gt;Input_Tidshorisont,BlankTegn,IF(CS$2=0,SUM(Materialedata[[#This Row],[A1-A3/m²]:[A4/m²]]),
CR35+IF(CS$2=Input_Tidshorisont,SUM(Materialedata[[#This Row],[C3/m²]:[C4/m²]]),IF(MOD(CS$2,Materialedata[[#This Row],[Levetid]])=0,SUM(Materialedata[[#This Row],[A1-A3/m²]:[C4/m²]]),0))
))</f>
        <v>.</v>
      </c>
      <c r="CT35" s="141" t="str">
        <f>IF(CT$2&gt;Input_Tidshorisont,BlankTegn,IF(CT$2=0,SUM(Materialedata[[#This Row],[A1-A3/m²]:[A4/m²]]),
CS35+IF(CT$2=Input_Tidshorisont,SUM(Materialedata[[#This Row],[C3/m²]:[C4/m²]]),IF(MOD(CT$2,Materialedata[[#This Row],[Levetid]])=0,SUM(Materialedata[[#This Row],[A1-A3/m²]:[C4/m²]]),0))
))</f>
        <v>.</v>
      </c>
      <c r="CU35" s="141" t="str">
        <f>IF(CU$2&gt;Input_Tidshorisont,BlankTegn,IF(CU$2=0,SUM(Materialedata[[#This Row],[A1-A3/m²]:[A4/m²]]),
CT35+IF(CU$2=Input_Tidshorisont,SUM(Materialedata[[#This Row],[C3/m²]:[C4/m²]]),IF(MOD(CU$2,Materialedata[[#This Row],[Levetid]])=0,SUM(Materialedata[[#This Row],[A1-A3/m²]:[C4/m²]]),0))
))</f>
        <v>.</v>
      </c>
      <c r="CV35" s="141" t="str">
        <f>IF(CV$2&gt;Input_Tidshorisont,BlankTegn,IF(CV$2=0,SUM(Materialedata[[#This Row],[A1-A3/m²]:[A4/m²]]),
CU35+IF(CV$2=Input_Tidshorisont,SUM(Materialedata[[#This Row],[C3/m²]:[C4/m²]]),IF(MOD(CV$2,Materialedata[[#This Row],[Levetid]])=0,SUM(Materialedata[[#This Row],[A1-A3/m²]:[C4/m²]]),0))
))</f>
        <v>.</v>
      </c>
      <c r="CW35" s="141" t="str">
        <f>IF(CW$2&gt;Input_Tidshorisont,BlankTegn,IF(CW$2=0,SUM(Materialedata[[#This Row],[A1-A3/m²]:[A4/m²]]),
CV35+IF(CW$2=Input_Tidshorisont,SUM(Materialedata[[#This Row],[C3/m²]:[C4/m²]]),IF(MOD(CW$2,Materialedata[[#This Row],[Levetid]])=0,SUM(Materialedata[[#This Row],[A1-A3/m²]:[C4/m²]]),0))
))</f>
        <v>.</v>
      </c>
      <c r="CX35" s="141" t="str">
        <f>IF(CX$2&gt;Input_Tidshorisont,BlankTegn,IF(CX$2=0,SUM(Materialedata[[#This Row],[A1-A3/m²]:[A4/m²]]),
CW35+IF(CX$2=Input_Tidshorisont,SUM(Materialedata[[#This Row],[C3/m²]:[C4/m²]]),IF(MOD(CX$2,Materialedata[[#This Row],[Levetid]])=0,SUM(Materialedata[[#This Row],[A1-A3/m²]:[C4/m²]]),0))
))</f>
        <v>.</v>
      </c>
      <c r="CY35" s="141" t="str">
        <f>IF(CY$2&gt;Input_Tidshorisont,BlankTegn,IF(CY$2=0,SUM(Materialedata[[#This Row],[A1-A3/m²]:[A4/m²]]),
CX35+IF(CY$2=Input_Tidshorisont,SUM(Materialedata[[#This Row],[C3/m²]:[C4/m²]]),IF(MOD(CY$2,Materialedata[[#This Row],[Levetid]])=0,SUM(Materialedata[[#This Row],[A1-A3/m²]:[C4/m²]]),0))
))</f>
        <v>.</v>
      </c>
      <c r="CZ35" s="141" t="str">
        <f>IF(CZ$2&gt;Input_Tidshorisont,BlankTegn,IF(CZ$2=0,SUM(Materialedata[[#This Row],[A1-A3/m²]:[A4/m²]]),
CY35+IF(CZ$2=Input_Tidshorisont,SUM(Materialedata[[#This Row],[C3/m²]:[C4/m²]]),IF(MOD(CZ$2,Materialedata[[#This Row],[Levetid]])=0,SUM(Materialedata[[#This Row],[A1-A3/m²]:[C4/m²]]),0))
))</f>
        <v>.</v>
      </c>
      <c r="DA35" s="141" t="str">
        <f>IF(DA$2&gt;Input_Tidshorisont,BlankTegn,IF(DA$2=0,SUM(Materialedata[[#This Row],[A1-A3/m²]:[A4/m²]]),
CZ35+IF(DA$2=Input_Tidshorisont,SUM(Materialedata[[#This Row],[C3/m²]:[C4/m²]]),IF(MOD(DA$2,Materialedata[[#This Row],[Levetid]])=0,SUM(Materialedata[[#This Row],[A1-A3/m²]:[C4/m²]]),0))
))</f>
        <v>.</v>
      </c>
      <c r="DB35" s="141" t="str">
        <f>IF(DB$2&gt;Input_Tidshorisont,BlankTegn,IF(DB$2=0,SUM(Materialedata[[#This Row],[A1-A3/m²]:[A4/m²]]),
DA35+IF(DB$2=Input_Tidshorisont,SUM(Materialedata[[#This Row],[C3/m²]:[C4/m²]]),IF(MOD(DB$2,Materialedata[[#This Row],[Levetid]])=0,SUM(Materialedata[[#This Row],[A1-A3/m²]:[C4/m²]]),0))
))</f>
        <v>.</v>
      </c>
      <c r="DC35" s="141" t="str">
        <f>IF(DC$2&gt;Input_Tidshorisont,BlankTegn,IF(DC$2=0,SUM(Materialedata[[#This Row],[A1-A3/m²]:[A4/m²]]),
DB35+IF(DC$2=Input_Tidshorisont,SUM(Materialedata[[#This Row],[C3/m²]:[C4/m²]]),IF(MOD(DC$2,Materialedata[[#This Row],[Levetid]])=0,SUM(Materialedata[[#This Row],[A1-A3/m²]:[C4/m²]]),0))
))</f>
        <v>.</v>
      </c>
      <c r="DD35" s="141" t="str">
        <f>IF(DD$2&gt;Input_Tidshorisont,BlankTegn,IF(DD$2=0,SUM(Materialedata[[#This Row],[A1-A3/m²]:[A4/m²]]),
DC35+IF(DD$2=Input_Tidshorisont,SUM(Materialedata[[#This Row],[C3/m²]:[C4/m²]]),IF(MOD(DD$2,Materialedata[[#This Row],[Levetid]])=0,SUM(Materialedata[[#This Row],[A1-A3/m²]:[C4/m²]]),0))
))</f>
        <v>.</v>
      </c>
      <c r="DE35" s="141" t="str">
        <f>IF(DE$2&gt;Input_Tidshorisont,BlankTegn,IF(DE$2=0,SUM(Materialedata[[#This Row],[A1-A3/m²]:[A4/m²]]),
DD35+IF(DE$2=Input_Tidshorisont,SUM(Materialedata[[#This Row],[C3/m²]:[C4/m²]]),IF(MOD(DE$2,Materialedata[[#This Row],[Levetid]])=0,SUM(Materialedata[[#This Row],[A1-A3/m²]:[C4/m²]]),0))
))</f>
        <v>.</v>
      </c>
      <c r="DF35" s="141" t="str">
        <f>IF(DF$2&gt;Input_Tidshorisont,BlankTegn,IF(DF$2=0,SUM(Materialedata[[#This Row],[A1-A3/m²]:[A4/m²]]),
DE35+IF(DF$2=Input_Tidshorisont,SUM(Materialedata[[#This Row],[C3/m²]:[C4/m²]]),IF(MOD(DF$2,Materialedata[[#This Row],[Levetid]])=0,SUM(Materialedata[[#This Row],[A1-A3/m²]:[C4/m²]]),0))
))</f>
        <v>.</v>
      </c>
      <c r="DG35" s="141" t="str">
        <f>IF(DG$2&gt;Input_Tidshorisont,BlankTegn,IF(DG$2=0,SUM(Materialedata[[#This Row],[A1-A3/m²]:[A4/m²]]),
DF35+IF(DG$2=Input_Tidshorisont,SUM(Materialedata[[#This Row],[C3/m²]:[C4/m²]]),IF(MOD(DG$2,Materialedata[[#This Row],[Levetid]])=0,SUM(Materialedata[[#This Row],[A1-A3/m²]:[C4/m²]]),0))
))</f>
        <v>.</v>
      </c>
      <c r="DH35" s="141" t="str">
        <f>IF(DH$2&gt;Input_Tidshorisont,BlankTegn,IF(DH$2=0,SUM(Materialedata[[#This Row],[A1-A3/m²]:[A4/m²]]),
DG35+IF(DH$2=Input_Tidshorisont,SUM(Materialedata[[#This Row],[C3/m²]:[C4/m²]]),IF(MOD(DH$2,Materialedata[[#This Row],[Levetid]])=0,SUM(Materialedata[[#This Row],[A1-A3/m²]:[C4/m²]]),0))
))</f>
        <v>.</v>
      </c>
      <c r="DI35" s="141" t="str">
        <f>IF(DI$2&gt;Input_Tidshorisont,BlankTegn,IF(DI$2=0,SUM(Materialedata[[#This Row],[A1-A3/m²]:[A4/m²]]),
DH35+IF(DI$2=Input_Tidshorisont,SUM(Materialedata[[#This Row],[C3/m²]:[C4/m²]]),IF(MOD(DI$2,Materialedata[[#This Row],[Levetid]])=0,SUM(Materialedata[[#This Row],[A1-A3/m²]:[C4/m²]]),0))
))</f>
        <v>.</v>
      </c>
      <c r="DJ35" s="141" t="str">
        <f>IF(DJ$2&gt;Input_Tidshorisont,BlankTegn,IF(DJ$2=0,SUM(Materialedata[[#This Row],[A1-A3/m²]:[A4/m²]]),
DI35+IF(DJ$2=Input_Tidshorisont,SUM(Materialedata[[#This Row],[C3/m²]:[C4/m²]]),IF(MOD(DJ$2,Materialedata[[#This Row],[Levetid]])=0,SUM(Materialedata[[#This Row],[A1-A3/m²]:[C4/m²]]),0))
))</f>
        <v>.</v>
      </c>
      <c r="DK35" s="141" t="str">
        <f>IF(DK$2&gt;Input_Tidshorisont,BlankTegn,IF(DK$2=0,SUM(Materialedata[[#This Row],[A1-A3/m²]:[A4/m²]]),
DJ35+IF(DK$2=Input_Tidshorisont,SUM(Materialedata[[#This Row],[C3/m²]:[C4/m²]]),IF(MOD(DK$2,Materialedata[[#This Row],[Levetid]])=0,SUM(Materialedata[[#This Row],[A1-A3/m²]:[C4/m²]]),0))
))</f>
        <v>.</v>
      </c>
      <c r="DL35" s="141" t="str">
        <f>IF(DL$2&gt;Input_Tidshorisont,BlankTegn,IF(DL$2=0,SUM(Materialedata[[#This Row],[A1-A3/m²]:[A4/m²]]),
DK35+IF(DL$2=Input_Tidshorisont,SUM(Materialedata[[#This Row],[C3/m²]:[C4/m²]]),IF(MOD(DL$2,Materialedata[[#This Row],[Levetid]])=0,SUM(Materialedata[[#This Row],[A1-A3/m²]:[C4/m²]]),0))
))</f>
        <v>.</v>
      </c>
      <c r="DM35" s="19"/>
    </row>
    <row r="36" spans="1:117">
      <c r="A36" s="182" t="s">
        <v>248</v>
      </c>
      <c r="B36" s="182" t="s">
        <v>176</v>
      </c>
      <c r="C36" s="148" t="s">
        <v>131</v>
      </c>
      <c r="D36" s="184"/>
      <c r="E36" s="180" t="s">
        <v>276</v>
      </c>
      <c r="F36" s="182" t="s">
        <v>165</v>
      </c>
      <c r="G36" s="182">
        <v>60</v>
      </c>
      <c r="H36" s="183">
        <v>50</v>
      </c>
      <c r="I36" s="184">
        <f>0.15*1*1</f>
        <v>0.15</v>
      </c>
      <c r="J36" s="184" t="s">
        <v>232</v>
      </c>
      <c r="K36" s="182">
        <v>-2.14</v>
      </c>
      <c r="L36" s="182" t="s">
        <v>220</v>
      </c>
      <c r="M36" s="185">
        <f>IF(ISBLANK(Materialedata[[#This Row],[A4-gruppe]]),BlankTegn,INDEX(Byggeproces[GWP],MATCH(Materialedata[[#This Row],[A4-gruppe]],Byggeproces[Gruppe/Undergruppe],0)))</f>
        <v>9.1999999999999998E-2</v>
      </c>
      <c r="N36" s="182">
        <v>3.22</v>
      </c>
      <c r="O36" s="182">
        <v>2.7399999999999999E-4</v>
      </c>
      <c r="P36" s="182">
        <v>-0.182</v>
      </c>
      <c r="Q36" s="277">
        <f>Materialedata[[#This Row],[A1-A3/standardenhed]]/0.037*0.15</f>
        <v>-8.6756756756756772</v>
      </c>
      <c r="R36" s="278" cm="1">
        <f t="array" ref="R36">IFERROR(_xlfn.IFS(Materialedata[[#This Row],[Mængde-enhed]]="kg/m²",Materialedata[[#This Row],[A4/kg]]*Materialedata[[#This Row],[Mængde/m²]],Materialedata[[#This Row],[Mængde-enhed]]="m³/m²",Materialedata[[#This Row],[A4/kg]]*Materialedata[[#This Row],[Mængde/m²]]*Materialedata[[#This Row],[Densitet]]),"N/A")</f>
        <v>0.69</v>
      </c>
      <c r="S36" s="277">
        <f>Materialedata[[#This Row],[C3/enhed]]/0.037*0.15</f>
        <v>13.054054054054054</v>
      </c>
      <c r="T36" s="277">
        <f>Materialedata[[#This Row],[C4/enhed]]/0.037*0.15</f>
        <v>1.1108108108108109E-3</v>
      </c>
      <c r="U36" s="277">
        <f>Materialedata[[#This Row],[D/enhed]]/0.037*0.15</f>
        <v>-0.73783783783783785</v>
      </c>
      <c r="V36" s="150">
        <f>IFERROR(INDEX(Range_Materiale_Genbrug,MATCH(Materialedata[[#This Row],[Komponent]],Facadekomponenter,0)),BlankTegn)</f>
        <v>0</v>
      </c>
      <c r="W36" s="150">
        <f>IFERROR(1-Materialedata[[#This Row],[Genbrug]],BlankTegn)</f>
        <v>1</v>
      </c>
      <c r="X36" s="186">
        <f>IFERROR(Materialedata[[#This Row],[A1-A3/m²_nyt]]*Materialedata[[#This Row],[Nyt]],BlankTegn)</f>
        <v>-8.6756756756756772</v>
      </c>
      <c r="Y36" s="186">
        <f>Materialedata[[#This Row],[A4/m²_nyt]]</f>
        <v>0.69</v>
      </c>
      <c r="Z36" s="186">
        <f>IFERROR(Materialedata[[#This Row],[C3/m²_nyt]]*Materialedata[[#This Row],[Nyt]],BlankTegn)</f>
        <v>13.054054054054054</v>
      </c>
      <c r="AA36" s="186">
        <f>IFERROR(Materialedata[[#This Row],[C4/m²_nyt]]*Materialedata[[#This Row],[Nyt]],BlankTegn)</f>
        <v>1.1108108108108109E-3</v>
      </c>
      <c r="AB36" s="186">
        <f>IFERROR(Materialedata[[#This Row],[D/m²_nyt]]*Materialedata[[#This Row],[Nyt]],BlankTegn)</f>
        <v>-0.73783783783783785</v>
      </c>
      <c r="AC36" s="187">
        <f>AC30*1.2</f>
        <v>232.7005102752812</v>
      </c>
      <c r="AD36" s="188" t="s">
        <v>29</v>
      </c>
      <c r="AE36" s="182">
        <v>1</v>
      </c>
      <c r="AF36" s="189">
        <f>Materialedata[[#This Row],[Pris/enhed]]*Materialedata[[#This Row],[Omregning]]</f>
        <v>232.7005102752812</v>
      </c>
      <c r="AG36" s="190">
        <v>0.02</v>
      </c>
      <c r="AH36" s="191">
        <v>1</v>
      </c>
      <c r="AI36" s="162">
        <v>0</v>
      </c>
      <c r="AJ36" s="141">
        <f>IF(AJ$2&gt;Input_Tidshorisont,BlankTegn,IF(AJ$2=0,SUM(Materialedata[[#This Row],[A1-A3/m²]:[A4/m²]]),
AI36+IF(AJ$2=Input_Tidshorisont,SUM(Materialedata[[#This Row],[C3/m²]:[C4/m²]]),IF(MOD(AJ$2,Materialedata[[#This Row],[Levetid]])=0,SUM(Materialedata[[#This Row],[A1-A3/m²]:[C4/m²]]),0))
))</f>
        <v>-7.9856756756756777</v>
      </c>
      <c r="AK36" s="141">
        <f>IF(AK$2&gt;Input_Tidshorisont,BlankTegn,IF(AK$2=0,SUM(Materialedata[[#This Row],[A1-A3/m²]:[A4/m²]]),
AJ36+IF(AK$2=Input_Tidshorisont,SUM(Materialedata[[#This Row],[C3/m²]:[C4/m²]]),IF(MOD(AK$2,Materialedata[[#This Row],[Levetid]])=0,SUM(Materialedata[[#This Row],[A1-A3/m²]:[C4/m²]]),0))
))</f>
        <v>-7.9856756756756777</v>
      </c>
      <c r="AL36" s="141">
        <f>IF(AL$2&gt;Input_Tidshorisont,BlankTegn,IF(AL$2=0,SUM(Materialedata[[#This Row],[A1-A3/m²]:[A4/m²]]),
AK36+IF(AL$2=Input_Tidshorisont,SUM(Materialedata[[#This Row],[C3/m²]:[C4/m²]]),IF(MOD(AL$2,Materialedata[[#This Row],[Levetid]])=0,SUM(Materialedata[[#This Row],[A1-A3/m²]:[C4/m²]]),0))
))</f>
        <v>-7.9856756756756777</v>
      </c>
      <c r="AM36" s="141">
        <f>IF(AM$2&gt;Input_Tidshorisont,BlankTegn,IF(AM$2=0,SUM(Materialedata[[#This Row],[A1-A3/m²]:[A4/m²]]),
AL36+IF(AM$2=Input_Tidshorisont,SUM(Materialedata[[#This Row],[C3/m²]:[C4/m²]]),IF(MOD(AM$2,Materialedata[[#This Row],[Levetid]])=0,SUM(Materialedata[[#This Row],[A1-A3/m²]:[C4/m²]]),0))
))</f>
        <v>-7.9856756756756777</v>
      </c>
      <c r="AN36" s="141">
        <f>IF(AN$2&gt;Input_Tidshorisont,BlankTegn,IF(AN$2=0,SUM(Materialedata[[#This Row],[A1-A3/m²]:[A4/m²]]),
AM36+IF(AN$2=Input_Tidshorisont,SUM(Materialedata[[#This Row],[C3/m²]:[C4/m²]]),IF(MOD(AN$2,Materialedata[[#This Row],[Levetid]])=0,SUM(Materialedata[[#This Row],[A1-A3/m²]:[C4/m²]]),0))
))</f>
        <v>-7.9856756756756777</v>
      </c>
      <c r="AO36" s="141">
        <f>IF(AO$2&gt;Input_Tidshorisont,BlankTegn,IF(AO$2=0,SUM(Materialedata[[#This Row],[A1-A3/m²]:[A4/m²]]),
AN36+IF(AO$2=Input_Tidshorisont,SUM(Materialedata[[#This Row],[C3/m²]:[C4/m²]]),IF(MOD(AO$2,Materialedata[[#This Row],[Levetid]])=0,SUM(Materialedata[[#This Row],[A1-A3/m²]:[C4/m²]]),0))
))</f>
        <v>-7.9856756756756777</v>
      </c>
      <c r="AP36" s="141">
        <f>IF(AP$2&gt;Input_Tidshorisont,BlankTegn,IF(AP$2=0,SUM(Materialedata[[#This Row],[A1-A3/m²]:[A4/m²]]),
AO36+IF(AP$2=Input_Tidshorisont,SUM(Materialedata[[#This Row],[C3/m²]:[C4/m²]]),IF(MOD(AP$2,Materialedata[[#This Row],[Levetid]])=0,SUM(Materialedata[[#This Row],[A1-A3/m²]:[C4/m²]]),0))
))</f>
        <v>-7.9856756756756777</v>
      </c>
      <c r="AQ36" s="141">
        <f>IF(AQ$2&gt;Input_Tidshorisont,BlankTegn,IF(AQ$2=0,SUM(Materialedata[[#This Row],[A1-A3/m²]:[A4/m²]]),
AP36+IF(AQ$2=Input_Tidshorisont,SUM(Materialedata[[#This Row],[C3/m²]:[C4/m²]]),IF(MOD(AQ$2,Materialedata[[#This Row],[Levetid]])=0,SUM(Materialedata[[#This Row],[A1-A3/m²]:[C4/m²]]),0))
))</f>
        <v>-7.9856756756756777</v>
      </c>
      <c r="AR36" s="141">
        <f>IF(AR$2&gt;Input_Tidshorisont,BlankTegn,IF(AR$2=0,SUM(Materialedata[[#This Row],[A1-A3/m²]:[A4/m²]]),
AQ36+IF(AR$2=Input_Tidshorisont,SUM(Materialedata[[#This Row],[C3/m²]:[C4/m²]]),IF(MOD(AR$2,Materialedata[[#This Row],[Levetid]])=0,SUM(Materialedata[[#This Row],[A1-A3/m²]:[C4/m²]]),0))
))</f>
        <v>-7.9856756756756777</v>
      </c>
      <c r="AS36" s="141">
        <f>IF(AS$2&gt;Input_Tidshorisont,BlankTegn,IF(AS$2=0,SUM(Materialedata[[#This Row],[A1-A3/m²]:[A4/m²]]),
AR36+IF(AS$2=Input_Tidshorisont,SUM(Materialedata[[#This Row],[C3/m²]:[C4/m²]]),IF(MOD(AS$2,Materialedata[[#This Row],[Levetid]])=0,SUM(Materialedata[[#This Row],[A1-A3/m²]:[C4/m²]]),0))
))</f>
        <v>-7.9856756756756777</v>
      </c>
      <c r="AT36" s="141">
        <f>IF(AT$2&gt;Input_Tidshorisont,BlankTegn,IF(AT$2=0,SUM(Materialedata[[#This Row],[A1-A3/m²]:[A4/m²]]),
AS36+IF(AT$2=Input_Tidshorisont,SUM(Materialedata[[#This Row],[C3/m²]:[C4/m²]]),IF(MOD(AT$2,Materialedata[[#This Row],[Levetid]])=0,SUM(Materialedata[[#This Row],[A1-A3/m²]:[C4/m²]]),0))
))</f>
        <v>-7.9856756756756777</v>
      </c>
      <c r="AU36" s="141">
        <f>IF(AU$2&gt;Input_Tidshorisont,BlankTegn,IF(AU$2=0,SUM(Materialedata[[#This Row],[A1-A3/m²]:[A4/m²]]),
AT36+IF(AU$2=Input_Tidshorisont,SUM(Materialedata[[#This Row],[C3/m²]:[C4/m²]]),IF(MOD(AU$2,Materialedata[[#This Row],[Levetid]])=0,SUM(Materialedata[[#This Row],[A1-A3/m²]:[C4/m²]]),0))
))</f>
        <v>-7.9856756756756777</v>
      </c>
      <c r="AV36" s="141">
        <f>IF(AV$2&gt;Input_Tidshorisont,BlankTegn,IF(AV$2=0,SUM(Materialedata[[#This Row],[A1-A3/m²]:[A4/m²]]),
AU36+IF(AV$2=Input_Tidshorisont,SUM(Materialedata[[#This Row],[C3/m²]:[C4/m²]]),IF(MOD(AV$2,Materialedata[[#This Row],[Levetid]])=0,SUM(Materialedata[[#This Row],[A1-A3/m²]:[C4/m²]]),0))
))</f>
        <v>-7.9856756756756777</v>
      </c>
      <c r="AW36" s="141">
        <f>IF(AW$2&gt;Input_Tidshorisont,BlankTegn,IF(AW$2=0,SUM(Materialedata[[#This Row],[A1-A3/m²]:[A4/m²]]),
AV36+IF(AW$2=Input_Tidshorisont,SUM(Materialedata[[#This Row],[C3/m²]:[C4/m²]]),IF(MOD(AW$2,Materialedata[[#This Row],[Levetid]])=0,SUM(Materialedata[[#This Row],[A1-A3/m²]:[C4/m²]]),0))
))</f>
        <v>-7.9856756756756777</v>
      </c>
      <c r="AX36" s="141">
        <f>IF(AX$2&gt;Input_Tidshorisont,BlankTegn,IF(AX$2=0,SUM(Materialedata[[#This Row],[A1-A3/m²]:[A4/m²]]),
AW36+IF(AX$2=Input_Tidshorisont,SUM(Materialedata[[#This Row],[C3/m²]:[C4/m²]]),IF(MOD(AX$2,Materialedata[[#This Row],[Levetid]])=0,SUM(Materialedata[[#This Row],[A1-A3/m²]:[C4/m²]]),0))
))</f>
        <v>-7.9856756756756777</v>
      </c>
      <c r="AY36" s="141">
        <f>IF(AY$2&gt;Input_Tidshorisont,BlankTegn,IF(AY$2=0,SUM(Materialedata[[#This Row],[A1-A3/m²]:[A4/m²]]),
AX36+IF(AY$2=Input_Tidshorisont,SUM(Materialedata[[#This Row],[C3/m²]:[C4/m²]]),IF(MOD(AY$2,Materialedata[[#This Row],[Levetid]])=0,SUM(Materialedata[[#This Row],[A1-A3/m²]:[C4/m²]]),0))
))</f>
        <v>-7.9856756756756777</v>
      </c>
      <c r="AZ36" s="141">
        <f>IF(AZ$2&gt;Input_Tidshorisont,BlankTegn,IF(AZ$2=0,SUM(Materialedata[[#This Row],[A1-A3/m²]:[A4/m²]]),
AY36+IF(AZ$2=Input_Tidshorisont,SUM(Materialedata[[#This Row],[C3/m²]:[C4/m²]]),IF(MOD(AZ$2,Materialedata[[#This Row],[Levetid]])=0,SUM(Materialedata[[#This Row],[A1-A3/m²]:[C4/m²]]),0))
))</f>
        <v>-7.9856756756756777</v>
      </c>
      <c r="BA36" s="141">
        <f>IF(BA$2&gt;Input_Tidshorisont,BlankTegn,IF(BA$2=0,SUM(Materialedata[[#This Row],[A1-A3/m²]:[A4/m²]]),
AZ36+IF(BA$2=Input_Tidshorisont,SUM(Materialedata[[#This Row],[C3/m²]:[C4/m²]]),IF(MOD(BA$2,Materialedata[[#This Row],[Levetid]])=0,SUM(Materialedata[[#This Row],[A1-A3/m²]:[C4/m²]]),0))
))</f>
        <v>-7.9856756756756777</v>
      </c>
      <c r="BB36" s="141">
        <f>IF(BB$2&gt;Input_Tidshorisont,BlankTegn,IF(BB$2=0,SUM(Materialedata[[#This Row],[A1-A3/m²]:[A4/m²]]),
BA36+IF(BB$2=Input_Tidshorisont,SUM(Materialedata[[#This Row],[C3/m²]:[C4/m²]]),IF(MOD(BB$2,Materialedata[[#This Row],[Levetid]])=0,SUM(Materialedata[[#This Row],[A1-A3/m²]:[C4/m²]]),0))
))</f>
        <v>-7.9856756756756777</v>
      </c>
      <c r="BC36" s="141">
        <f>IF(BC$2&gt;Input_Tidshorisont,BlankTegn,IF(BC$2=0,SUM(Materialedata[[#This Row],[A1-A3/m²]:[A4/m²]]),
BB36+IF(BC$2=Input_Tidshorisont,SUM(Materialedata[[#This Row],[C3/m²]:[C4/m²]]),IF(MOD(BC$2,Materialedata[[#This Row],[Levetid]])=0,SUM(Materialedata[[#This Row],[A1-A3/m²]:[C4/m²]]),0))
))</f>
        <v>-7.9856756756756777</v>
      </c>
      <c r="BD36" s="141">
        <f>IF(BD$2&gt;Input_Tidshorisont,BlankTegn,IF(BD$2=0,SUM(Materialedata[[#This Row],[A1-A3/m²]:[A4/m²]]),
BC36+IF(BD$2=Input_Tidshorisont,SUM(Materialedata[[#This Row],[C3/m²]:[C4/m²]]),IF(MOD(BD$2,Materialedata[[#This Row],[Levetid]])=0,SUM(Materialedata[[#This Row],[A1-A3/m²]:[C4/m²]]),0))
))</f>
        <v>-7.9856756756756777</v>
      </c>
      <c r="BE36" s="141">
        <f>IF(BE$2&gt;Input_Tidshorisont,BlankTegn,IF(BE$2=0,SUM(Materialedata[[#This Row],[A1-A3/m²]:[A4/m²]]),
BD36+IF(BE$2=Input_Tidshorisont,SUM(Materialedata[[#This Row],[C3/m²]:[C4/m²]]),IF(MOD(BE$2,Materialedata[[#This Row],[Levetid]])=0,SUM(Materialedata[[#This Row],[A1-A3/m²]:[C4/m²]]),0))
))</f>
        <v>-7.9856756756756777</v>
      </c>
      <c r="BF36" s="141">
        <f>IF(BF$2&gt;Input_Tidshorisont,BlankTegn,IF(BF$2=0,SUM(Materialedata[[#This Row],[A1-A3/m²]:[A4/m²]]),
BE36+IF(BF$2=Input_Tidshorisont,SUM(Materialedata[[#This Row],[C3/m²]:[C4/m²]]),IF(MOD(BF$2,Materialedata[[#This Row],[Levetid]])=0,SUM(Materialedata[[#This Row],[A1-A3/m²]:[C4/m²]]),0))
))</f>
        <v>-7.9856756756756777</v>
      </c>
      <c r="BG36" s="141">
        <f>IF(BG$2&gt;Input_Tidshorisont,BlankTegn,IF(BG$2=0,SUM(Materialedata[[#This Row],[A1-A3/m²]:[A4/m²]]),
BF36+IF(BG$2=Input_Tidshorisont,SUM(Materialedata[[#This Row],[C3/m²]:[C4/m²]]),IF(MOD(BG$2,Materialedata[[#This Row],[Levetid]])=0,SUM(Materialedata[[#This Row],[A1-A3/m²]:[C4/m²]]),0))
))</f>
        <v>-7.9856756756756777</v>
      </c>
      <c r="BH36" s="141">
        <f>IF(BH$2&gt;Input_Tidshorisont,BlankTegn,IF(BH$2=0,SUM(Materialedata[[#This Row],[A1-A3/m²]:[A4/m²]]),
BG36+IF(BH$2=Input_Tidshorisont,SUM(Materialedata[[#This Row],[C3/m²]:[C4/m²]]),IF(MOD(BH$2,Materialedata[[#This Row],[Levetid]])=0,SUM(Materialedata[[#This Row],[A1-A3/m²]:[C4/m²]]),0))
))</f>
        <v>-7.9856756756756777</v>
      </c>
      <c r="BI36" s="141">
        <f>IF(BI$2&gt;Input_Tidshorisont,BlankTegn,IF(BI$2=0,SUM(Materialedata[[#This Row],[A1-A3/m²]:[A4/m²]]),
BH36+IF(BI$2=Input_Tidshorisont,SUM(Materialedata[[#This Row],[C3/m²]:[C4/m²]]),IF(MOD(BI$2,Materialedata[[#This Row],[Levetid]])=0,SUM(Materialedata[[#This Row],[A1-A3/m²]:[C4/m²]]),0))
))</f>
        <v>-7.9856756756756777</v>
      </c>
      <c r="BJ36" s="141">
        <f>IF(BJ$2&gt;Input_Tidshorisont,BlankTegn,IF(BJ$2=0,SUM(Materialedata[[#This Row],[A1-A3/m²]:[A4/m²]]),
BI36+IF(BJ$2=Input_Tidshorisont,SUM(Materialedata[[#This Row],[C3/m²]:[C4/m²]]),IF(MOD(BJ$2,Materialedata[[#This Row],[Levetid]])=0,SUM(Materialedata[[#This Row],[A1-A3/m²]:[C4/m²]]),0))
))</f>
        <v>-7.9856756756756777</v>
      </c>
      <c r="BK36" s="141">
        <f>IF(BK$2&gt;Input_Tidshorisont,BlankTegn,IF(BK$2=0,SUM(Materialedata[[#This Row],[A1-A3/m²]:[A4/m²]]),
BJ36+IF(BK$2=Input_Tidshorisont,SUM(Materialedata[[#This Row],[C3/m²]:[C4/m²]]),IF(MOD(BK$2,Materialedata[[#This Row],[Levetid]])=0,SUM(Materialedata[[#This Row],[A1-A3/m²]:[C4/m²]]),0))
))</f>
        <v>-7.9856756756756777</v>
      </c>
      <c r="BL36" s="141">
        <f>IF(BL$2&gt;Input_Tidshorisont,BlankTegn,IF(BL$2=0,SUM(Materialedata[[#This Row],[A1-A3/m²]:[A4/m²]]),
BK36+IF(BL$2=Input_Tidshorisont,SUM(Materialedata[[#This Row],[C3/m²]:[C4/m²]]),IF(MOD(BL$2,Materialedata[[#This Row],[Levetid]])=0,SUM(Materialedata[[#This Row],[A1-A3/m²]:[C4/m²]]),0))
))</f>
        <v>-7.9856756756756777</v>
      </c>
      <c r="BM36" s="141">
        <f>IF(BM$2&gt;Input_Tidshorisont,BlankTegn,IF(BM$2=0,SUM(Materialedata[[#This Row],[A1-A3/m²]:[A4/m²]]),
BL36+IF(BM$2=Input_Tidshorisont,SUM(Materialedata[[#This Row],[C3/m²]:[C4/m²]]),IF(MOD(BM$2,Materialedata[[#This Row],[Levetid]])=0,SUM(Materialedata[[#This Row],[A1-A3/m²]:[C4/m²]]),0))
))</f>
        <v>-7.9856756756756777</v>
      </c>
      <c r="BN36" s="141">
        <f>IF(BN$2&gt;Input_Tidshorisont,BlankTegn,IF(BN$2=0,SUM(Materialedata[[#This Row],[A1-A3/m²]:[A4/m²]]),
BM36+IF(BN$2=Input_Tidshorisont,SUM(Materialedata[[#This Row],[C3/m²]:[C4/m²]]),IF(MOD(BN$2,Materialedata[[#This Row],[Levetid]])=0,SUM(Materialedata[[#This Row],[A1-A3/m²]:[C4/m²]]),0))
))</f>
        <v>-7.9856756756756777</v>
      </c>
      <c r="BO36" s="141">
        <f>IF(BO$2&gt;Input_Tidshorisont,BlankTegn,IF(BO$2=0,SUM(Materialedata[[#This Row],[A1-A3/m²]:[A4/m²]]),
BN36+IF(BO$2=Input_Tidshorisont,SUM(Materialedata[[#This Row],[C3/m²]:[C4/m²]]),IF(MOD(BO$2,Materialedata[[#This Row],[Levetid]])=0,SUM(Materialedata[[#This Row],[A1-A3/m²]:[C4/m²]]),0))
))</f>
        <v>-7.9856756756756777</v>
      </c>
      <c r="BP36" s="141">
        <f>IF(BP$2&gt;Input_Tidshorisont,BlankTegn,IF(BP$2=0,SUM(Materialedata[[#This Row],[A1-A3/m²]:[A4/m²]]),
BO36+IF(BP$2=Input_Tidshorisont,SUM(Materialedata[[#This Row],[C3/m²]:[C4/m²]]),IF(MOD(BP$2,Materialedata[[#This Row],[Levetid]])=0,SUM(Materialedata[[#This Row],[A1-A3/m²]:[C4/m²]]),0))
))</f>
        <v>-7.9856756756756777</v>
      </c>
      <c r="BQ36" s="141">
        <f>IF(BQ$2&gt;Input_Tidshorisont,BlankTegn,IF(BQ$2=0,SUM(Materialedata[[#This Row],[A1-A3/m²]:[A4/m²]]),
BP36+IF(BQ$2=Input_Tidshorisont,SUM(Materialedata[[#This Row],[C3/m²]:[C4/m²]]),IF(MOD(BQ$2,Materialedata[[#This Row],[Levetid]])=0,SUM(Materialedata[[#This Row],[A1-A3/m²]:[C4/m²]]),0))
))</f>
        <v>-7.9856756756756777</v>
      </c>
      <c r="BR36" s="141">
        <f>IF(BR$2&gt;Input_Tidshorisont,BlankTegn,IF(BR$2=0,SUM(Materialedata[[#This Row],[A1-A3/m²]:[A4/m²]]),
BQ36+IF(BR$2=Input_Tidshorisont,SUM(Materialedata[[#This Row],[C3/m²]:[C4/m²]]),IF(MOD(BR$2,Materialedata[[#This Row],[Levetid]])=0,SUM(Materialedata[[#This Row],[A1-A3/m²]:[C4/m²]]),0))
))</f>
        <v>-7.9856756756756777</v>
      </c>
      <c r="BS36" s="141">
        <f>IF(BS$2&gt;Input_Tidshorisont,BlankTegn,IF(BS$2=0,SUM(Materialedata[[#This Row],[A1-A3/m²]:[A4/m²]]),
BR36+IF(BS$2=Input_Tidshorisont,SUM(Materialedata[[#This Row],[C3/m²]:[C4/m²]]),IF(MOD(BS$2,Materialedata[[#This Row],[Levetid]])=0,SUM(Materialedata[[#This Row],[A1-A3/m²]:[C4/m²]]),0))
))</f>
        <v>-7.9856756756756777</v>
      </c>
      <c r="BT36" s="141">
        <f>IF(BT$2&gt;Input_Tidshorisont,BlankTegn,IF(BT$2=0,SUM(Materialedata[[#This Row],[A1-A3/m²]:[A4/m²]]),
BS36+IF(BT$2=Input_Tidshorisont,SUM(Materialedata[[#This Row],[C3/m²]:[C4/m²]]),IF(MOD(BT$2,Materialedata[[#This Row],[Levetid]])=0,SUM(Materialedata[[#This Row],[A1-A3/m²]:[C4/m²]]),0))
))</f>
        <v>-7.9856756756756777</v>
      </c>
      <c r="BU36" s="141">
        <f>IF(BU$2&gt;Input_Tidshorisont,BlankTegn,IF(BU$2=0,SUM(Materialedata[[#This Row],[A1-A3/m²]:[A4/m²]]),
BT36+IF(BU$2=Input_Tidshorisont,SUM(Materialedata[[#This Row],[C3/m²]:[C4/m²]]),IF(MOD(BU$2,Materialedata[[#This Row],[Levetid]])=0,SUM(Materialedata[[#This Row],[A1-A3/m²]:[C4/m²]]),0))
))</f>
        <v>-7.9856756756756777</v>
      </c>
      <c r="BV36" s="141">
        <f>IF(BV$2&gt;Input_Tidshorisont,BlankTegn,IF(BV$2=0,SUM(Materialedata[[#This Row],[A1-A3/m²]:[A4/m²]]),
BU36+IF(BV$2=Input_Tidshorisont,SUM(Materialedata[[#This Row],[C3/m²]:[C4/m²]]),IF(MOD(BV$2,Materialedata[[#This Row],[Levetid]])=0,SUM(Materialedata[[#This Row],[A1-A3/m²]:[C4/m²]]),0))
))</f>
        <v>-7.9856756756756777</v>
      </c>
      <c r="BW36" s="141">
        <f>IF(BW$2&gt;Input_Tidshorisont,BlankTegn,IF(BW$2=0,SUM(Materialedata[[#This Row],[A1-A3/m²]:[A4/m²]]),
BV36+IF(BW$2=Input_Tidshorisont,SUM(Materialedata[[#This Row],[C3/m²]:[C4/m²]]),IF(MOD(BW$2,Materialedata[[#This Row],[Levetid]])=0,SUM(Materialedata[[#This Row],[A1-A3/m²]:[C4/m²]]),0))
))</f>
        <v>-7.9856756756756777</v>
      </c>
      <c r="BX36" s="141">
        <f>IF(BX$2&gt;Input_Tidshorisont,BlankTegn,IF(BX$2=0,SUM(Materialedata[[#This Row],[A1-A3/m²]:[A4/m²]]),
BW36+IF(BX$2=Input_Tidshorisont,SUM(Materialedata[[#This Row],[C3/m²]:[C4/m²]]),IF(MOD(BX$2,Materialedata[[#This Row],[Levetid]])=0,SUM(Materialedata[[#This Row],[A1-A3/m²]:[C4/m²]]),0))
))</f>
        <v>-7.9856756756756777</v>
      </c>
      <c r="BY36" s="141">
        <f>IF(BY$2&gt;Input_Tidshorisont,BlankTegn,IF(BY$2=0,SUM(Materialedata[[#This Row],[A1-A3/m²]:[A4/m²]]),
BX36+IF(BY$2=Input_Tidshorisont,SUM(Materialedata[[#This Row],[C3/m²]:[C4/m²]]),IF(MOD(BY$2,Materialedata[[#This Row],[Levetid]])=0,SUM(Materialedata[[#This Row],[A1-A3/m²]:[C4/m²]]),0))
))</f>
        <v>-7.9856756756756777</v>
      </c>
      <c r="BZ36" s="141">
        <f>IF(BZ$2&gt;Input_Tidshorisont,BlankTegn,IF(BZ$2=0,SUM(Materialedata[[#This Row],[A1-A3/m²]:[A4/m²]]),
BY36+IF(BZ$2=Input_Tidshorisont,SUM(Materialedata[[#This Row],[C3/m²]:[C4/m²]]),IF(MOD(BZ$2,Materialedata[[#This Row],[Levetid]])=0,SUM(Materialedata[[#This Row],[A1-A3/m²]:[C4/m²]]),0))
))</f>
        <v>-7.9856756756756777</v>
      </c>
      <c r="CA36" s="141">
        <f>IF(CA$2&gt;Input_Tidshorisont,BlankTegn,IF(CA$2=0,SUM(Materialedata[[#This Row],[A1-A3/m²]:[A4/m²]]),
BZ36+IF(CA$2=Input_Tidshorisont,SUM(Materialedata[[#This Row],[C3/m²]:[C4/m²]]),IF(MOD(CA$2,Materialedata[[#This Row],[Levetid]])=0,SUM(Materialedata[[#This Row],[A1-A3/m²]:[C4/m²]]),0))
))</f>
        <v>-7.9856756756756777</v>
      </c>
      <c r="CB36" s="141">
        <f>IF(CB$2&gt;Input_Tidshorisont,BlankTegn,IF(CB$2=0,SUM(Materialedata[[#This Row],[A1-A3/m²]:[A4/m²]]),
CA36+IF(CB$2=Input_Tidshorisont,SUM(Materialedata[[#This Row],[C3/m²]:[C4/m²]]),IF(MOD(CB$2,Materialedata[[#This Row],[Levetid]])=0,SUM(Materialedata[[#This Row],[A1-A3/m²]:[C4/m²]]),0))
))</f>
        <v>-7.9856756756756777</v>
      </c>
      <c r="CC36" s="141">
        <f>IF(CC$2&gt;Input_Tidshorisont,BlankTegn,IF(CC$2=0,SUM(Materialedata[[#This Row],[A1-A3/m²]:[A4/m²]]),
CB36+IF(CC$2=Input_Tidshorisont,SUM(Materialedata[[#This Row],[C3/m²]:[C4/m²]]),IF(MOD(CC$2,Materialedata[[#This Row],[Levetid]])=0,SUM(Materialedata[[#This Row],[A1-A3/m²]:[C4/m²]]),0))
))</f>
        <v>-7.9856756756756777</v>
      </c>
      <c r="CD36" s="141">
        <f>IF(CD$2&gt;Input_Tidshorisont,BlankTegn,IF(CD$2=0,SUM(Materialedata[[#This Row],[A1-A3/m²]:[A4/m²]]),
CC36+IF(CD$2=Input_Tidshorisont,SUM(Materialedata[[#This Row],[C3/m²]:[C4/m²]]),IF(MOD(CD$2,Materialedata[[#This Row],[Levetid]])=0,SUM(Materialedata[[#This Row],[A1-A3/m²]:[C4/m²]]),0))
))</f>
        <v>-7.9856756756756777</v>
      </c>
      <c r="CE36" s="141">
        <f>IF(CE$2&gt;Input_Tidshorisont,BlankTegn,IF(CE$2=0,SUM(Materialedata[[#This Row],[A1-A3/m²]:[A4/m²]]),
CD36+IF(CE$2=Input_Tidshorisont,SUM(Materialedata[[#This Row],[C3/m²]:[C4/m²]]),IF(MOD(CE$2,Materialedata[[#This Row],[Levetid]])=0,SUM(Materialedata[[#This Row],[A1-A3/m²]:[C4/m²]]),0))
))</f>
        <v>-7.9856756756756777</v>
      </c>
      <c r="CF36" s="141">
        <f>IF(CF$2&gt;Input_Tidshorisont,BlankTegn,IF(CF$2=0,SUM(Materialedata[[#This Row],[A1-A3/m²]:[A4/m²]]),
CE36+IF(CF$2=Input_Tidshorisont,SUM(Materialedata[[#This Row],[C3/m²]:[C4/m²]]),IF(MOD(CF$2,Materialedata[[#This Row],[Levetid]])=0,SUM(Materialedata[[#This Row],[A1-A3/m²]:[C4/m²]]),0))
))</f>
        <v>-7.9856756756756777</v>
      </c>
      <c r="CG36" s="141">
        <f>IF(CG$2&gt;Input_Tidshorisont,BlankTegn,IF(CG$2=0,SUM(Materialedata[[#This Row],[A1-A3/m²]:[A4/m²]]),
CF36+IF(CG$2=Input_Tidshorisont,SUM(Materialedata[[#This Row],[C3/m²]:[C4/m²]]),IF(MOD(CG$2,Materialedata[[#This Row],[Levetid]])=0,SUM(Materialedata[[#This Row],[A1-A3/m²]:[C4/m²]]),0))
))</f>
        <v>-7.9856756756756777</v>
      </c>
      <c r="CH36" s="141">
        <f>IF(CH$2&gt;Input_Tidshorisont,BlankTegn,IF(CH$2=0,SUM(Materialedata[[#This Row],[A1-A3/m²]:[A4/m²]]),
CG36+IF(CH$2=Input_Tidshorisont,SUM(Materialedata[[#This Row],[C3/m²]:[C4/m²]]),IF(MOD(CH$2,Materialedata[[#This Row],[Levetid]])=0,SUM(Materialedata[[#This Row],[A1-A3/m²]:[C4/m²]]),0))
))</f>
        <v>5.0694891891891878</v>
      </c>
      <c r="CI36" s="141" t="str">
        <f>IF(CI$2&gt;Input_Tidshorisont,BlankTegn,IF(CI$2=0,SUM(Materialedata[[#This Row],[A1-A3/m²]:[A4/m²]]),
CH36+IF(CI$2=Input_Tidshorisont,SUM(Materialedata[[#This Row],[C3/m²]:[C4/m²]]),IF(MOD(CI$2,Materialedata[[#This Row],[Levetid]])=0,SUM(Materialedata[[#This Row],[A1-A3/m²]:[C4/m²]]),0))
))</f>
        <v>.</v>
      </c>
      <c r="CJ36" s="141" t="str">
        <f>IF(CJ$2&gt;Input_Tidshorisont,BlankTegn,IF(CJ$2=0,SUM(Materialedata[[#This Row],[A1-A3/m²]:[A4/m²]]),
CI36+IF(CJ$2=Input_Tidshorisont,SUM(Materialedata[[#This Row],[C3/m²]:[C4/m²]]),IF(MOD(CJ$2,Materialedata[[#This Row],[Levetid]])=0,SUM(Materialedata[[#This Row],[A1-A3/m²]:[C4/m²]]),0))
))</f>
        <v>.</v>
      </c>
      <c r="CK36" s="141" t="str">
        <f>IF(CK$2&gt;Input_Tidshorisont,BlankTegn,IF(CK$2=0,SUM(Materialedata[[#This Row],[A1-A3/m²]:[A4/m²]]),
CJ36+IF(CK$2=Input_Tidshorisont,SUM(Materialedata[[#This Row],[C3/m²]:[C4/m²]]),IF(MOD(CK$2,Materialedata[[#This Row],[Levetid]])=0,SUM(Materialedata[[#This Row],[A1-A3/m²]:[C4/m²]]),0))
))</f>
        <v>.</v>
      </c>
      <c r="CL36" s="141" t="str">
        <f>IF(CL$2&gt;Input_Tidshorisont,BlankTegn,IF(CL$2=0,SUM(Materialedata[[#This Row],[A1-A3/m²]:[A4/m²]]),
CK36+IF(CL$2=Input_Tidshorisont,SUM(Materialedata[[#This Row],[C3/m²]:[C4/m²]]),IF(MOD(CL$2,Materialedata[[#This Row],[Levetid]])=0,SUM(Materialedata[[#This Row],[A1-A3/m²]:[C4/m²]]),0))
))</f>
        <v>.</v>
      </c>
      <c r="CM36" s="141" t="str">
        <f>IF(CM$2&gt;Input_Tidshorisont,BlankTegn,IF(CM$2=0,SUM(Materialedata[[#This Row],[A1-A3/m²]:[A4/m²]]),
CL36+IF(CM$2=Input_Tidshorisont,SUM(Materialedata[[#This Row],[C3/m²]:[C4/m²]]),IF(MOD(CM$2,Materialedata[[#This Row],[Levetid]])=0,SUM(Materialedata[[#This Row],[A1-A3/m²]:[C4/m²]]),0))
))</f>
        <v>.</v>
      </c>
      <c r="CN36" s="141" t="str">
        <f>IF(CN$2&gt;Input_Tidshorisont,BlankTegn,IF(CN$2=0,SUM(Materialedata[[#This Row],[A1-A3/m²]:[A4/m²]]),
CM36+IF(CN$2=Input_Tidshorisont,SUM(Materialedata[[#This Row],[C3/m²]:[C4/m²]]),IF(MOD(CN$2,Materialedata[[#This Row],[Levetid]])=0,SUM(Materialedata[[#This Row],[A1-A3/m²]:[C4/m²]]),0))
))</f>
        <v>.</v>
      </c>
      <c r="CO36" s="141" t="str">
        <f>IF(CO$2&gt;Input_Tidshorisont,BlankTegn,IF(CO$2=0,SUM(Materialedata[[#This Row],[A1-A3/m²]:[A4/m²]]),
CN36+IF(CO$2=Input_Tidshorisont,SUM(Materialedata[[#This Row],[C3/m²]:[C4/m²]]),IF(MOD(CO$2,Materialedata[[#This Row],[Levetid]])=0,SUM(Materialedata[[#This Row],[A1-A3/m²]:[C4/m²]]),0))
))</f>
        <v>.</v>
      </c>
      <c r="CP36" s="141" t="str">
        <f>IF(CP$2&gt;Input_Tidshorisont,BlankTegn,IF(CP$2=0,SUM(Materialedata[[#This Row],[A1-A3/m²]:[A4/m²]]),
CO36+IF(CP$2=Input_Tidshorisont,SUM(Materialedata[[#This Row],[C3/m²]:[C4/m²]]),IF(MOD(CP$2,Materialedata[[#This Row],[Levetid]])=0,SUM(Materialedata[[#This Row],[A1-A3/m²]:[C4/m²]]),0))
))</f>
        <v>.</v>
      </c>
      <c r="CQ36" s="141" t="str">
        <f>IF(CQ$2&gt;Input_Tidshorisont,BlankTegn,IF(CQ$2=0,SUM(Materialedata[[#This Row],[A1-A3/m²]:[A4/m²]]),
CP36+IF(CQ$2=Input_Tidshorisont,SUM(Materialedata[[#This Row],[C3/m²]:[C4/m²]]),IF(MOD(CQ$2,Materialedata[[#This Row],[Levetid]])=0,SUM(Materialedata[[#This Row],[A1-A3/m²]:[C4/m²]]),0))
))</f>
        <v>.</v>
      </c>
      <c r="CR36" s="141" t="str">
        <f>IF(CR$2&gt;Input_Tidshorisont,BlankTegn,IF(CR$2=0,SUM(Materialedata[[#This Row],[A1-A3/m²]:[A4/m²]]),
CQ36+IF(CR$2=Input_Tidshorisont,SUM(Materialedata[[#This Row],[C3/m²]:[C4/m²]]),IF(MOD(CR$2,Materialedata[[#This Row],[Levetid]])=0,SUM(Materialedata[[#This Row],[A1-A3/m²]:[C4/m²]]),0))
))</f>
        <v>.</v>
      </c>
      <c r="CS36" s="141" t="str">
        <f>IF(CS$2&gt;Input_Tidshorisont,BlankTegn,IF(CS$2=0,SUM(Materialedata[[#This Row],[A1-A3/m²]:[A4/m²]]),
CR36+IF(CS$2=Input_Tidshorisont,SUM(Materialedata[[#This Row],[C3/m²]:[C4/m²]]),IF(MOD(CS$2,Materialedata[[#This Row],[Levetid]])=0,SUM(Materialedata[[#This Row],[A1-A3/m²]:[C4/m²]]),0))
))</f>
        <v>.</v>
      </c>
      <c r="CT36" s="141" t="str">
        <f>IF(CT$2&gt;Input_Tidshorisont,BlankTegn,IF(CT$2=0,SUM(Materialedata[[#This Row],[A1-A3/m²]:[A4/m²]]),
CS36+IF(CT$2=Input_Tidshorisont,SUM(Materialedata[[#This Row],[C3/m²]:[C4/m²]]),IF(MOD(CT$2,Materialedata[[#This Row],[Levetid]])=0,SUM(Materialedata[[#This Row],[A1-A3/m²]:[C4/m²]]),0))
))</f>
        <v>.</v>
      </c>
      <c r="CU36" s="141" t="str">
        <f>IF(CU$2&gt;Input_Tidshorisont,BlankTegn,IF(CU$2=0,SUM(Materialedata[[#This Row],[A1-A3/m²]:[A4/m²]]),
CT36+IF(CU$2=Input_Tidshorisont,SUM(Materialedata[[#This Row],[C3/m²]:[C4/m²]]),IF(MOD(CU$2,Materialedata[[#This Row],[Levetid]])=0,SUM(Materialedata[[#This Row],[A1-A3/m²]:[C4/m²]]),0))
))</f>
        <v>.</v>
      </c>
      <c r="CV36" s="141" t="str">
        <f>IF(CV$2&gt;Input_Tidshorisont,BlankTegn,IF(CV$2=0,SUM(Materialedata[[#This Row],[A1-A3/m²]:[A4/m²]]),
CU36+IF(CV$2=Input_Tidshorisont,SUM(Materialedata[[#This Row],[C3/m²]:[C4/m²]]),IF(MOD(CV$2,Materialedata[[#This Row],[Levetid]])=0,SUM(Materialedata[[#This Row],[A1-A3/m²]:[C4/m²]]),0))
))</f>
        <v>.</v>
      </c>
      <c r="CW36" s="141" t="str">
        <f>IF(CW$2&gt;Input_Tidshorisont,BlankTegn,IF(CW$2=0,SUM(Materialedata[[#This Row],[A1-A3/m²]:[A4/m²]]),
CV36+IF(CW$2=Input_Tidshorisont,SUM(Materialedata[[#This Row],[C3/m²]:[C4/m²]]),IF(MOD(CW$2,Materialedata[[#This Row],[Levetid]])=0,SUM(Materialedata[[#This Row],[A1-A3/m²]:[C4/m²]]),0))
))</f>
        <v>.</v>
      </c>
      <c r="CX36" s="141" t="str">
        <f>IF(CX$2&gt;Input_Tidshorisont,BlankTegn,IF(CX$2=0,SUM(Materialedata[[#This Row],[A1-A3/m²]:[A4/m²]]),
CW36+IF(CX$2=Input_Tidshorisont,SUM(Materialedata[[#This Row],[C3/m²]:[C4/m²]]),IF(MOD(CX$2,Materialedata[[#This Row],[Levetid]])=0,SUM(Materialedata[[#This Row],[A1-A3/m²]:[C4/m²]]),0))
))</f>
        <v>.</v>
      </c>
      <c r="CY36" s="141" t="str">
        <f>IF(CY$2&gt;Input_Tidshorisont,BlankTegn,IF(CY$2=0,SUM(Materialedata[[#This Row],[A1-A3/m²]:[A4/m²]]),
CX36+IF(CY$2=Input_Tidshorisont,SUM(Materialedata[[#This Row],[C3/m²]:[C4/m²]]),IF(MOD(CY$2,Materialedata[[#This Row],[Levetid]])=0,SUM(Materialedata[[#This Row],[A1-A3/m²]:[C4/m²]]),0))
))</f>
        <v>.</v>
      </c>
      <c r="CZ36" s="141" t="str">
        <f>IF(CZ$2&gt;Input_Tidshorisont,BlankTegn,IF(CZ$2=0,SUM(Materialedata[[#This Row],[A1-A3/m²]:[A4/m²]]),
CY36+IF(CZ$2=Input_Tidshorisont,SUM(Materialedata[[#This Row],[C3/m²]:[C4/m²]]),IF(MOD(CZ$2,Materialedata[[#This Row],[Levetid]])=0,SUM(Materialedata[[#This Row],[A1-A3/m²]:[C4/m²]]),0))
))</f>
        <v>.</v>
      </c>
      <c r="DA36" s="141" t="str">
        <f>IF(DA$2&gt;Input_Tidshorisont,BlankTegn,IF(DA$2=0,SUM(Materialedata[[#This Row],[A1-A3/m²]:[A4/m²]]),
CZ36+IF(DA$2=Input_Tidshorisont,SUM(Materialedata[[#This Row],[C3/m²]:[C4/m²]]),IF(MOD(DA$2,Materialedata[[#This Row],[Levetid]])=0,SUM(Materialedata[[#This Row],[A1-A3/m²]:[C4/m²]]),0))
))</f>
        <v>.</v>
      </c>
      <c r="DB36" s="141" t="str">
        <f>IF(DB$2&gt;Input_Tidshorisont,BlankTegn,IF(DB$2=0,SUM(Materialedata[[#This Row],[A1-A3/m²]:[A4/m²]]),
DA36+IF(DB$2=Input_Tidshorisont,SUM(Materialedata[[#This Row],[C3/m²]:[C4/m²]]),IF(MOD(DB$2,Materialedata[[#This Row],[Levetid]])=0,SUM(Materialedata[[#This Row],[A1-A3/m²]:[C4/m²]]),0))
))</f>
        <v>.</v>
      </c>
      <c r="DC36" s="141" t="str">
        <f>IF(DC$2&gt;Input_Tidshorisont,BlankTegn,IF(DC$2=0,SUM(Materialedata[[#This Row],[A1-A3/m²]:[A4/m²]]),
DB36+IF(DC$2=Input_Tidshorisont,SUM(Materialedata[[#This Row],[C3/m²]:[C4/m²]]),IF(MOD(DC$2,Materialedata[[#This Row],[Levetid]])=0,SUM(Materialedata[[#This Row],[A1-A3/m²]:[C4/m²]]),0))
))</f>
        <v>.</v>
      </c>
      <c r="DD36" s="141" t="str">
        <f>IF(DD$2&gt;Input_Tidshorisont,BlankTegn,IF(DD$2=0,SUM(Materialedata[[#This Row],[A1-A3/m²]:[A4/m²]]),
DC36+IF(DD$2=Input_Tidshorisont,SUM(Materialedata[[#This Row],[C3/m²]:[C4/m²]]),IF(MOD(DD$2,Materialedata[[#This Row],[Levetid]])=0,SUM(Materialedata[[#This Row],[A1-A3/m²]:[C4/m²]]),0))
))</f>
        <v>.</v>
      </c>
      <c r="DE36" s="141" t="str">
        <f>IF(DE$2&gt;Input_Tidshorisont,BlankTegn,IF(DE$2=0,SUM(Materialedata[[#This Row],[A1-A3/m²]:[A4/m²]]),
DD36+IF(DE$2=Input_Tidshorisont,SUM(Materialedata[[#This Row],[C3/m²]:[C4/m²]]),IF(MOD(DE$2,Materialedata[[#This Row],[Levetid]])=0,SUM(Materialedata[[#This Row],[A1-A3/m²]:[C4/m²]]),0))
))</f>
        <v>.</v>
      </c>
      <c r="DF36" s="141" t="str">
        <f>IF(DF$2&gt;Input_Tidshorisont,BlankTegn,IF(DF$2=0,SUM(Materialedata[[#This Row],[A1-A3/m²]:[A4/m²]]),
DE36+IF(DF$2=Input_Tidshorisont,SUM(Materialedata[[#This Row],[C3/m²]:[C4/m²]]),IF(MOD(DF$2,Materialedata[[#This Row],[Levetid]])=0,SUM(Materialedata[[#This Row],[A1-A3/m²]:[C4/m²]]),0))
))</f>
        <v>.</v>
      </c>
      <c r="DG36" s="141" t="str">
        <f>IF(DG$2&gt;Input_Tidshorisont,BlankTegn,IF(DG$2=0,SUM(Materialedata[[#This Row],[A1-A3/m²]:[A4/m²]]),
DF36+IF(DG$2=Input_Tidshorisont,SUM(Materialedata[[#This Row],[C3/m²]:[C4/m²]]),IF(MOD(DG$2,Materialedata[[#This Row],[Levetid]])=0,SUM(Materialedata[[#This Row],[A1-A3/m²]:[C4/m²]]),0))
))</f>
        <v>.</v>
      </c>
      <c r="DH36" s="141" t="str">
        <f>IF(DH$2&gt;Input_Tidshorisont,BlankTegn,IF(DH$2=0,SUM(Materialedata[[#This Row],[A1-A3/m²]:[A4/m²]]),
DG36+IF(DH$2=Input_Tidshorisont,SUM(Materialedata[[#This Row],[C3/m²]:[C4/m²]]),IF(MOD(DH$2,Materialedata[[#This Row],[Levetid]])=0,SUM(Materialedata[[#This Row],[A1-A3/m²]:[C4/m²]]),0))
))</f>
        <v>.</v>
      </c>
      <c r="DI36" s="141" t="str">
        <f>IF(DI$2&gt;Input_Tidshorisont,BlankTegn,IF(DI$2=0,SUM(Materialedata[[#This Row],[A1-A3/m²]:[A4/m²]]),
DH36+IF(DI$2=Input_Tidshorisont,SUM(Materialedata[[#This Row],[C3/m²]:[C4/m²]]),IF(MOD(DI$2,Materialedata[[#This Row],[Levetid]])=0,SUM(Materialedata[[#This Row],[A1-A3/m²]:[C4/m²]]),0))
))</f>
        <v>.</v>
      </c>
      <c r="DJ36" s="141" t="str">
        <f>IF(DJ$2&gt;Input_Tidshorisont,BlankTegn,IF(DJ$2=0,SUM(Materialedata[[#This Row],[A1-A3/m²]:[A4/m²]]),
DI36+IF(DJ$2=Input_Tidshorisont,SUM(Materialedata[[#This Row],[C3/m²]:[C4/m²]]),IF(MOD(DJ$2,Materialedata[[#This Row],[Levetid]])=0,SUM(Materialedata[[#This Row],[A1-A3/m²]:[C4/m²]]),0))
))</f>
        <v>.</v>
      </c>
      <c r="DK36" s="141" t="str">
        <f>IF(DK$2&gt;Input_Tidshorisont,BlankTegn,IF(DK$2=0,SUM(Materialedata[[#This Row],[A1-A3/m²]:[A4/m²]]),
DJ36+IF(DK$2=Input_Tidshorisont,SUM(Materialedata[[#This Row],[C3/m²]:[C4/m²]]),IF(MOD(DK$2,Materialedata[[#This Row],[Levetid]])=0,SUM(Materialedata[[#This Row],[A1-A3/m²]:[C4/m²]]),0))
))</f>
        <v>.</v>
      </c>
      <c r="DL36" s="141" t="str">
        <f>IF(DL$2&gt;Input_Tidshorisont,BlankTegn,IF(DL$2=0,SUM(Materialedata[[#This Row],[A1-A3/m²]:[A4/m²]]),
DK36+IF(DL$2=Input_Tidshorisont,SUM(Materialedata[[#This Row],[C3/m²]:[C4/m²]]),IF(MOD(DL$2,Materialedata[[#This Row],[Levetid]])=0,SUM(Materialedata[[#This Row],[A1-A3/m²]:[C4/m²]]),0))
))</f>
        <v>.</v>
      </c>
      <c r="DM36" s="19"/>
    </row>
    <row r="37" spans="1:117">
      <c r="A37" s="182" t="s">
        <v>248</v>
      </c>
      <c r="B37" s="182" t="s">
        <v>177</v>
      </c>
      <c r="C37" s="148" t="s">
        <v>131</v>
      </c>
      <c r="D37" s="184"/>
      <c r="E37" s="180" t="s">
        <v>276</v>
      </c>
      <c r="F37" s="182" t="s">
        <v>165</v>
      </c>
      <c r="G37" s="182">
        <v>60</v>
      </c>
      <c r="H37" s="183">
        <v>50</v>
      </c>
      <c r="I37" s="184">
        <f>0.1*1*1</f>
        <v>0.1</v>
      </c>
      <c r="J37" s="184" t="s">
        <v>232</v>
      </c>
      <c r="K37" s="182">
        <v>-2.14</v>
      </c>
      <c r="L37" s="182" t="s">
        <v>220</v>
      </c>
      <c r="M37" s="185">
        <f>IF(ISBLANK(Materialedata[[#This Row],[A4-gruppe]]),BlankTegn,INDEX(Byggeproces[GWP],MATCH(Materialedata[[#This Row],[A4-gruppe]],Byggeproces[Gruppe/Undergruppe],0)))</f>
        <v>9.1999999999999998E-2</v>
      </c>
      <c r="N37" s="182">
        <v>3.22</v>
      </c>
      <c r="O37" s="182">
        <v>2.7399999999999999E-4</v>
      </c>
      <c r="P37" s="182">
        <v>-0.182</v>
      </c>
      <c r="Q37" s="277">
        <f>Materialedata[[#This Row],[A1-A3/standardenhed]]/0.037*0.1</f>
        <v>-5.7837837837837851</v>
      </c>
      <c r="R37" s="278" cm="1">
        <f t="array" ref="R37">IFERROR(_xlfn.IFS(Materialedata[[#This Row],[Mængde-enhed]]="kg/m²",Materialedata[[#This Row],[A4/kg]]*Materialedata[[#This Row],[Mængde/m²]],Materialedata[[#This Row],[Mængde-enhed]]="m³/m²",Materialedata[[#This Row],[A4/kg]]*Materialedata[[#This Row],[Mængde/m²]]*Materialedata[[#This Row],[Densitet]]),"N/A")</f>
        <v>0.45999999999999996</v>
      </c>
      <c r="S37" s="277">
        <f>Materialedata[[#This Row],[C3/enhed]]/0.037*0.1</f>
        <v>8.7027027027027035</v>
      </c>
      <c r="T37" s="277">
        <f>Materialedata[[#This Row],[C4/enhed]]/0.037*0.1</f>
        <v>7.4054054054054064E-4</v>
      </c>
      <c r="U37" s="277">
        <f>Materialedata[[#This Row],[D/enhed]]/0.037*0.1</f>
        <v>-0.49189189189189197</v>
      </c>
      <c r="V37" s="150">
        <f>IFERROR(INDEX(Range_Materiale_Genbrug,MATCH(Materialedata[[#This Row],[Komponent]],Facadekomponenter,0)),BlankTegn)</f>
        <v>0</v>
      </c>
      <c r="W37" s="150">
        <f>IFERROR(1-Materialedata[[#This Row],[Genbrug]],BlankTegn)</f>
        <v>1</v>
      </c>
      <c r="X37" s="186">
        <f>IFERROR(Materialedata[[#This Row],[A1-A3/m²_nyt]]*Materialedata[[#This Row],[Nyt]],BlankTegn)</f>
        <v>-5.7837837837837851</v>
      </c>
      <c r="Y37" s="186">
        <f>Materialedata[[#This Row],[A4/m²_nyt]]</f>
        <v>0.45999999999999996</v>
      </c>
      <c r="Z37" s="186">
        <f>IFERROR(Materialedata[[#This Row],[C3/m²_nyt]]*Materialedata[[#This Row],[Nyt]],BlankTegn)</f>
        <v>8.7027027027027035</v>
      </c>
      <c r="AA37" s="186">
        <f>IFERROR(Materialedata[[#This Row],[C4/m²_nyt]]*Materialedata[[#This Row],[Nyt]],BlankTegn)</f>
        <v>7.4054054054054064E-4</v>
      </c>
      <c r="AB37" s="186">
        <f>IFERROR(Materialedata[[#This Row],[D/m²_nyt]]*Materialedata[[#This Row],[Nyt]],BlankTegn)</f>
        <v>-0.49189189189189197</v>
      </c>
      <c r="AC37" s="187">
        <f>AC31*1.2</f>
        <v>198.95201665701921</v>
      </c>
      <c r="AD37" s="188" t="s">
        <v>29</v>
      </c>
      <c r="AE37" s="182">
        <v>1</v>
      </c>
      <c r="AF37" s="189">
        <f>Materialedata[[#This Row],[Pris/enhed]]*Materialedata[[#This Row],[Omregning]]</f>
        <v>198.95201665701921</v>
      </c>
      <c r="AG37" s="190">
        <v>0.02</v>
      </c>
      <c r="AH37" s="191">
        <v>1</v>
      </c>
      <c r="AI37" s="162">
        <v>0</v>
      </c>
      <c r="AJ37" s="141">
        <f>IF(AJ$2&gt;Input_Tidshorisont,BlankTegn,IF(AJ$2=0,SUM(Materialedata[[#This Row],[A1-A3/m²]:[A4/m²]]),
AI37+IF(AJ$2=Input_Tidshorisont,SUM(Materialedata[[#This Row],[C3/m²]:[C4/m²]]),IF(MOD(AJ$2,Materialedata[[#This Row],[Levetid]])=0,SUM(Materialedata[[#This Row],[A1-A3/m²]:[C4/m²]]),0))
))</f>
        <v>-5.3237837837837851</v>
      </c>
      <c r="AK37" s="141">
        <f>IF(AK$2&gt;Input_Tidshorisont,BlankTegn,IF(AK$2=0,SUM(Materialedata[[#This Row],[A1-A3/m²]:[A4/m²]]),
AJ37+IF(AK$2=Input_Tidshorisont,SUM(Materialedata[[#This Row],[C3/m²]:[C4/m²]]),IF(MOD(AK$2,Materialedata[[#This Row],[Levetid]])=0,SUM(Materialedata[[#This Row],[A1-A3/m²]:[C4/m²]]),0))
))</f>
        <v>-5.3237837837837851</v>
      </c>
      <c r="AL37" s="141">
        <f>IF(AL$2&gt;Input_Tidshorisont,BlankTegn,IF(AL$2=0,SUM(Materialedata[[#This Row],[A1-A3/m²]:[A4/m²]]),
AK37+IF(AL$2=Input_Tidshorisont,SUM(Materialedata[[#This Row],[C3/m²]:[C4/m²]]),IF(MOD(AL$2,Materialedata[[#This Row],[Levetid]])=0,SUM(Materialedata[[#This Row],[A1-A3/m²]:[C4/m²]]),0))
))</f>
        <v>-5.3237837837837851</v>
      </c>
      <c r="AM37" s="141">
        <f>IF(AM$2&gt;Input_Tidshorisont,BlankTegn,IF(AM$2=0,SUM(Materialedata[[#This Row],[A1-A3/m²]:[A4/m²]]),
AL37+IF(AM$2=Input_Tidshorisont,SUM(Materialedata[[#This Row],[C3/m²]:[C4/m²]]),IF(MOD(AM$2,Materialedata[[#This Row],[Levetid]])=0,SUM(Materialedata[[#This Row],[A1-A3/m²]:[C4/m²]]),0))
))</f>
        <v>-5.3237837837837851</v>
      </c>
      <c r="AN37" s="141">
        <f>IF(AN$2&gt;Input_Tidshorisont,BlankTegn,IF(AN$2=0,SUM(Materialedata[[#This Row],[A1-A3/m²]:[A4/m²]]),
AM37+IF(AN$2=Input_Tidshorisont,SUM(Materialedata[[#This Row],[C3/m²]:[C4/m²]]),IF(MOD(AN$2,Materialedata[[#This Row],[Levetid]])=0,SUM(Materialedata[[#This Row],[A1-A3/m²]:[C4/m²]]),0))
))</f>
        <v>-5.3237837837837851</v>
      </c>
      <c r="AO37" s="141">
        <f>IF(AO$2&gt;Input_Tidshorisont,BlankTegn,IF(AO$2=0,SUM(Materialedata[[#This Row],[A1-A3/m²]:[A4/m²]]),
AN37+IF(AO$2=Input_Tidshorisont,SUM(Materialedata[[#This Row],[C3/m²]:[C4/m²]]),IF(MOD(AO$2,Materialedata[[#This Row],[Levetid]])=0,SUM(Materialedata[[#This Row],[A1-A3/m²]:[C4/m²]]),0))
))</f>
        <v>-5.3237837837837851</v>
      </c>
      <c r="AP37" s="141">
        <f>IF(AP$2&gt;Input_Tidshorisont,BlankTegn,IF(AP$2=0,SUM(Materialedata[[#This Row],[A1-A3/m²]:[A4/m²]]),
AO37+IF(AP$2=Input_Tidshorisont,SUM(Materialedata[[#This Row],[C3/m²]:[C4/m²]]),IF(MOD(AP$2,Materialedata[[#This Row],[Levetid]])=0,SUM(Materialedata[[#This Row],[A1-A3/m²]:[C4/m²]]),0))
))</f>
        <v>-5.3237837837837851</v>
      </c>
      <c r="AQ37" s="141">
        <f>IF(AQ$2&gt;Input_Tidshorisont,BlankTegn,IF(AQ$2=0,SUM(Materialedata[[#This Row],[A1-A3/m²]:[A4/m²]]),
AP37+IF(AQ$2=Input_Tidshorisont,SUM(Materialedata[[#This Row],[C3/m²]:[C4/m²]]),IF(MOD(AQ$2,Materialedata[[#This Row],[Levetid]])=0,SUM(Materialedata[[#This Row],[A1-A3/m²]:[C4/m²]]),0))
))</f>
        <v>-5.3237837837837851</v>
      </c>
      <c r="AR37" s="141">
        <f>IF(AR$2&gt;Input_Tidshorisont,BlankTegn,IF(AR$2=0,SUM(Materialedata[[#This Row],[A1-A3/m²]:[A4/m²]]),
AQ37+IF(AR$2=Input_Tidshorisont,SUM(Materialedata[[#This Row],[C3/m²]:[C4/m²]]),IF(MOD(AR$2,Materialedata[[#This Row],[Levetid]])=0,SUM(Materialedata[[#This Row],[A1-A3/m²]:[C4/m²]]),0))
))</f>
        <v>-5.3237837837837851</v>
      </c>
      <c r="AS37" s="141">
        <f>IF(AS$2&gt;Input_Tidshorisont,BlankTegn,IF(AS$2=0,SUM(Materialedata[[#This Row],[A1-A3/m²]:[A4/m²]]),
AR37+IF(AS$2=Input_Tidshorisont,SUM(Materialedata[[#This Row],[C3/m²]:[C4/m²]]),IF(MOD(AS$2,Materialedata[[#This Row],[Levetid]])=0,SUM(Materialedata[[#This Row],[A1-A3/m²]:[C4/m²]]),0))
))</f>
        <v>-5.3237837837837851</v>
      </c>
      <c r="AT37" s="141">
        <f>IF(AT$2&gt;Input_Tidshorisont,BlankTegn,IF(AT$2=0,SUM(Materialedata[[#This Row],[A1-A3/m²]:[A4/m²]]),
AS37+IF(AT$2=Input_Tidshorisont,SUM(Materialedata[[#This Row],[C3/m²]:[C4/m²]]),IF(MOD(AT$2,Materialedata[[#This Row],[Levetid]])=0,SUM(Materialedata[[#This Row],[A1-A3/m²]:[C4/m²]]),0))
))</f>
        <v>-5.3237837837837851</v>
      </c>
      <c r="AU37" s="141">
        <f>IF(AU$2&gt;Input_Tidshorisont,BlankTegn,IF(AU$2=0,SUM(Materialedata[[#This Row],[A1-A3/m²]:[A4/m²]]),
AT37+IF(AU$2=Input_Tidshorisont,SUM(Materialedata[[#This Row],[C3/m²]:[C4/m²]]),IF(MOD(AU$2,Materialedata[[#This Row],[Levetid]])=0,SUM(Materialedata[[#This Row],[A1-A3/m²]:[C4/m²]]),0))
))</f>
        <v>-5.3237837837837851</v>
      </c>
      <c r="AV37" s="141">
        <f>IF(AV$2&gt;Input_Tidshorisont,BlankTegn,IF(AV$2=0,SUM(Materialedata[[#This Row],[A1-A3/m²]:[A4/m²]]),
AU37+IF(AV$2=Input_Tidshorisont,SUM(Materialedata[[#This Row],[C3/m²]:[C4/m²]]),IF(MOD(AV$2,Materialedata[[#This Row],[Levetid]])=0,SUM(Materialedata[[#This Row],[A1-A3/m²]:[C4/m²]]),0))
))</f>
        <v>-5.3237837837837851</v>
      </c>
      <c r="AW37" s="141">
        <f>IF(AW$2&gt;Input_Tidshorisont,BlankTegn,IF(AW$2=0,SUM(Materialedata[[#This Row],[A1-A3/m²]:[A4/m²]]),
AV37+IF(AW$2=Input_Tidshorisont,SUM(Materialedata[[#This Row],[C3/m²]:[C4/m²]]),IF(MOD(AW$2,Materialedata[[#This Row],[Levetid]])=0,SUM(Materialedata[[#This Row],[A1-A3/m²]:[C4/m²]]),0))
))</f>
        <v>-5.3237837837837851</v>
      </c>
      <c r="AX37" s="141">
        <f>IF(AX$2&gt;Input_Tidshorisont,BlankTegn,IF(AX$2=0,SUM(Materialedata[[#This Row],[A1-A3/m²]:[A4/m²]]),
AW37+IF(AX$2=Input_Tidshorisont,SUM(Materialedata[[#This Row],[C3/m²]:[C4/m²]]),IF(MOD(AX$2,Materialedata[[#This Row],[Levetid]])=0,SUM(Materialedata[[#This Row],[A1-A3/m²]:[C4/m²]]),0))
))</f>
        <v>-5.3237837837837851</v>
      </c>
      <c r="AY37" s="141">
        <f>IF(AY$2&gt;Input_Tidshorisont,BlankTegn,IF(AY$2=0,SUM(Materialedata[[#This Row],[A1-A3/m²]:[A4/m²]]),
AX37+IF(AY$2=Input_Tidshorisont,SUM(Materialedata[[#This Row],[C3/m²]:[C4/m²]]),IF(MOD(AY$2,Materialedata[[#This Row],[Levetid]])=0,SUM(Materialedata[[#This Row],[A1-A3/m²]:[C4/m²]]),0))
))</f>
        <v>-5.3237837837837851</v>
      </c>
      <c r="AZ37" s="141">
        <f>IF(AZ$2&gt;Input_Tidshorisont,BlankTegn,IF(AZ$2=0,SUM(Materialedata[[#This Row],[A1-A3/m²]:[A4/m²]]),
AY37+IF(AZ$2=Input_Tidshorisont,SUM(Materialedata[[#This Row],[C3/m²]:[C4/m²]]),IF(MOD(AZ$2,Materialedata[[#This Row],[Levetid]])=0,SUM(Materialedata[[#This Row],[A1-A3/m²]:[C4/m²]]),0))
))</f>
        <v>-5.3237837837837851</v>
      </c>
      <c r="BA37" s="141">
        <f>IF(BA$2&gt;Input_Tidshorisont,BlankTegn,IF(BA$2=0,SUM(Materialedata[[#This Row],[A1-A3/m²]:[A4/m²]]),
AZ37+IF(BA$2=Input_Tidshorisont,SUM(Materialedata[[#This Row],[C3/m²]:[C4/m²]]),IF(MOD(BA$2,Materialedata[[#This Row],[Levetid]])=0,SUM(Materialedata[[#This Row],[A1-A3/m²]:[C4/m²]]),0))
))</f>
        <v>-5.3237837837837851</v>
      </c>
      <c r="BB37" s="141">
        <f>IF(BB$2&gt;Input_Tidshorisont,BlankTegn,IF(BB$2=0,SUM(Materialedata[[#This Row],[A1-A3/m²]:[A4/m²]]),
BA37+IF(BB$2=Input_Tidshorisont,SUM(Materialedata[[#This Row],[C3/m²]:[C4/m²]]),IF(MOD(BB$2,Materialedata[[#This Row],[Levetid]])=0,SUM(Materialedata[[#This Row],[A1-A3/m²]:[C4/m²]]),0))
))</f>
        <v>-5.3237837837837851</v>
      </c>
      <c r="BC37" s="141">
        <f>IF(BC$2&gt;Input_Tidshorisont,BlankTegn,IF(BC$2=0,SUM(Materialedata[[#This Row],[A1-A3/m²]:[A4/m²]]),
BB37+IF(BC$2=Input_Tidshorisont,SUM(Materialedata[[#This Row],[C3/m²]:[C4/m²]]),IF(MOD(BC$2,Materialedata[[#This Row],[Levetid]])=0,SUM(Materialedata[[#This Row],[A1-A3/m²]:[C4/m²]]),0))
))</f>
        <v>-5.3237837837837851</v>
      </c>
      <c r="BD37" s="141">
        <f>IF(BD$2&gt;Input_Tidshorisont,BlankTegn,IF(BD$2=0,SUM(Materialedata[[#This Row],[A1-A3/m²]:[A4/m²]]),
BC37+IF(BD$2=Input_Tidshorisont,SUM(Materialedata[[#This Row],[C3/m²]:[C4/m²]]),IF(MOD(BD$2,Materialedata[[#This Row],[Levetid]])=0,SUM(Materialedata[[#This Row],[A1-A3/m²]:[C4/m²]]),0))
))</f>
        <v>-5.3237837837837851</v>
      </c>
      <c r="BE37" s="141">
        <f>IF(BE$2&gt;Input_Tidshorisont,BlankTegn,IF(BE$2=0,SUM(Materialedata[[#This Row],[A1-A3/m²]:[A4/m²]]),
BD37+IF(BE$2=Input_Tidshorisont,SUM(Materialedata[[#This Row],[C3/m²]:[C4/m²]]),IF(MOD(BE$2,Materialedata[[#This Row],[Levetid]])=0,SUM(Materialedata[[#This Row],[A1-A3/m²]:[C4/m²]]),0))
))</f>
        <v>-5.3237837837837851</v>
      </c>
      <c r="BF37" s="141">
        <f>IF(BF$2&gt;Input_Tidshorisont,BlankTegn,IF(BF$2=0,SUM(Materialedata[[#This Row],[A1-A3/m²]:[A4/m²]]),
BE37+IF(BF$2=Input_Tidshorisont,SUM(Materialedata[[#This Row],[C3/m²]:[C4/m²]]),IF(MOD(BF$2,Materialedata[[#This Row],[Levetid]])=0,SUM(Materialedata[[#This Row],[A1-A3/m²]:[C4/m²]]),0))
))</f>
        <v>-5.3237837837837851</v>
      </c>
      <c r="BG37" s="141">
        <f>IF(BG$2&gt;Input_Tidshorisont,BlankTegn,IF(BG$2=0,SUM(Materialedata[[#This Row],[A1-A3/m²]:[A4/m²]]),
BF37+IF(BG$2=Input_Tidshorisont,SUM(Materialedata[[#This Row],[C3/m²]:[C4/m²]]),IF(MOD(BG$2,Materialedata[[#This Row],[Levetid]])=0,SUM(Materialedata[[#This Row],[A1-A3/m²]:[C4/m²]]),0))
))</f>
        <v>-5.3237837837837851</v>
      </c>
      <c r="BH37" s="141">
        <f>IF(BH$2&gt;Input_Tidshorisont,BlankTegn,IF(BH$2=0,SUM(Materialedata[[#This Row],[A1-A3/m²]:[A4/m²]]),
BG37+IF(BH$2=Input_Tidshorisont,SUM(Materialedata[[#This Row],[C3/m²]:[C4/m²]]),IF(MOD(BH$2,Materialedata[[#This Row],[Levetid]])=0,SUM(Materialedata[[#This Row],[A1-A3/m²]:[C4/m²]]),0))
))</f>
        <v>-5.3237837837837851</v>
      </c>
      <c r="BI37" s="141">
        <f>IF(BI$2&gt;Input_Tidshorisont,BlankTegn,IF(BI$2=0,SUM(Materialedata[[#This Row],[A1-A3/m²]:[A4/m²]]),
BH37+IF(BI$2=Input_Tidshorisont,SUM(Materialedata[[#This Row],[C3/m²]:[C4/m²]]),IF(MOD(BI$2,Materialedata[[#This Row],[Levetid]])=0,SUM(Materialedata[[#This Row],[A1-A3/m²]:[C4/m²]]),0))
))</f>
        <v>-5.3237837837837851</v>
      </c>
      <c r="BJ37" s="141">
        <f>IF(BJ$2&gt;Input_Tidshorisont,BlankTegn,IF(BJ$2=0,SUM(Materialedata[[#This Row],[A1-A3/m²]:[A4/m²]]),
BI37+IF(BJ$2=Input_Tidshorisont,SUM(Materialedata[[#This Row],[C3/m²]:[C4/m²]]),IF(MOD(BJ$2,Materialedata[[#This Row],[Levetid]])=0,SUM(Materialedata[[#This Row],[A1-A3/m²]:[C4/m²]]),0))
))</f>
        <v>-5.3237837837837851</v>
      </c>
      <c r="BK37" s="141">
        <f>IF(BK$2&gt;Input_Tidshorisont,BlankTegn,IF(BK$2=0,SUM(Materialedata[[#This Row],[A1-A3/m²]:[A4/m²]]),
BJ37+IF(BK$2=Input_Tidshorisont,SUM(Materialedata[[#This Row],[C3/m²]:[C4/m²]]),IF(MOD(BK$2,Materialedata[[#This Row],[Levetid]])=0,SUM(Materialedata[[#This Row],[A1-A3/m²]:[C4/m²]]),0))
))</f>
        <v>-5.3237837837837851</v>
      </c>
      <c r="BL37" s="141">
        <f>IF(BL$2&gt;Input_Tidshorisont,BlankTegn,IF(BL$2=0,SUM(Materialedata[[#This Row],[A1-A3/m²]:[A4/m²]]),
BK37+IF(BL$2=Input_Tidshorisont,SUM(Materialedata[[#This Row],[C3/m²]:[C4/m²]]),IF(MOD(BL$2,Materialedata[[#This Row],[Levetid]])=0,SUM(Materialedata[[#This Row],[A1-A3/m²]:[C4/m²]]),0))
))</f>
        <v>-5.3237837837837851</v>
      </c>
      <c r="BM37" s="141">
        <f>IF(BM$2&gt;Input_Tidshorisont,BlankTegn,IF(BM$2=0,SUM(Materialedata[[#This Row],[A1-A3/m²]:[A4/m²]]),
BL37+IF(BM$2=Input_Tidshorisont,SUM(Materialedata[[#This Row],[C3/m²]:[C4/m²]]),IF(MOD(BM$2,Materialedata[[#This Row],[Levetid]])=0,SUM(Materialedata[[#This Row],[A1-A3/m²]:[C4/m²]]),0))
))</f>
        <v>-5.3237837837837851</v>
      </c>
      <c r="BN37" s="141">
        <f>IF(BN$2&gt;Input_Tidshorisont,BlankTegn,IF(BN$2=0,SUM(Materialedata[[#This Row],[A1-A3/m²]:[A4/m²]]),
BM37+IF(BN$2=Input_Tidshorisont,SUM(Materialedata[[#This Row],[C3/m²]:[C4/m²]]),IF(MOD(BN$2,Materialedata[[#This Row],[Levetid]])=0,SUM(Materialedata[[#This Row],[A1-A3/m²]:[C4/m²]]),0))
))</f>
        <v>-5.3237837837837851</v>
      </c>
      <c r="BO37" s="141">
        <f>IF(BO$2&gt;Input_Tidshorisont,BlankTegn,IF(BO$2=0,SUM(Materialedata[[#This Row],[A1-A3/m²]:[A4/m²]]),
BN37+IF(BO$2=Input_Tidshorisont,SUM(Materialedata[[#This Row],[C3/m²]:[C4/m²]]),IF(MOD(BO$2,Materialedata[[#This Row],[Levetid]])=0,SUM(Materialedata[[#This Row],[A1-A3/m²]:[C4/m²]]),0))
))</f>
        <v>-5.3237837837837851</v>
      </c>
      <c r="BP37" s="141">
        <f>IF(BP$2&gt;Input_Tidshorisont,BlankTegn,IF(BP$2=0,SUM(Materialedata[[#This Row],[A1-A3/m²]:[A4/m²]]),
BO37+IF(BP$2=Input_Tidshorisont,SUM(Materialedata[[#This Row],[C3/m²]:[C4/m²]]),IF(MOD(BP$2,Materialedata[[#This Row],[Levetid]])=0,SUM(Materialedata[[#This Row],[A1-A3/m²]:[C4/m²]]),0))
))</f>
        <v>-5.3237837837837851</v>
      </c>
      <c r="BQ37" s="141">
        <f>IF(BQ$2&gt;Input_Tidshorisont,BlankTegn,IF(BQ$2=0,SUM(Materialedata[[#This Row],[A1-A3/m²]:[A4/m²]]),
BP37+IF(BQ$2=Input_Tidshorisont,SUM(Materialedata[[#This Row],[C3/m²]:[C4/m²]]),IF(MOD(BQ$2,Materialedata[[#This Row],[Levetid]])=0,SUM(Materialedata[[#This Row],[A1-A3/m²]:[C4/m²]]),0))
))</f>
        <v>-5.3237837837837851</v>
      </c>
      <c r="BR37" s="141">
        <f>IF(BR$2&gt;Input_Tidshorisont,BlankTegn,IF(BR$2=0,SUM(Materialedata[[#This Row],[A1-A3/m²]:[A4/m²]]),
BQ37+IF(BR$2=Input_Tidshorisont,SUM(Materialedata[[#This Row],[C3/m²]:[C4/m²]]),IF(MOD(BR$2,Materialedata[[#This Row],[Levetid]])=0,SUM(Materialedata[[#This Row],[A1-A3/m²]:[C4/m²]]),0))
))</f>
        <v>-5.3237837837837851</v>
      </c>
      <c r="BS37" s="141">
        <f>IF(BS$2&gt;Input_Tidshorisont,BlankTegn,IF(BS$2=0,SUM(Materialedata[[#This Row],[A1-A3/m²]:[A4/m²]]),
BR37+IF(BS$2=Input_Tidshorisont,SUM(Materialedata[[#This Row],[C3/m²]:[C4/m²]]),IF(MOD(BS$2,Materialedata[[#This Row],[Levetid]])=0,SUM(Materialedata[[#This Row],[A1-A3/m²]:[C4/m²]]),0))
))</f>
        <v>-5.3237837837837851</v>
      </c>
      <c r="BT37" s="141">
        <f>IF(BT$2&gt;Input_Tidshorisont,BlankTegn,IF(BT$2=0,SUM(Materialedata[[#This Row],[A1-A3/m²]:[A4/m²]]),
BS37+IF(BT$2=Input_Tidshorisont,SUM(Materialedata[[#This Row],[C3/m²]:[C4/m²]]),IF(MOD(BT$2,Materialedata[[#This Row],[Levetid]])=0,SUM(Materialedata[[#This Row],[A1-A3/m²]:[C4/m²]]),0))
))</f>
        <v>-5.3237837837837851</v>
      </c>
      <c r="BU37" s="141">
        <f>IF(BU$2&gt;Input_Tidshorisont,BlankTegn,IF(BU$2=0,SUM(Materialedata[[#This Row],[A1-A3/m²]:[A4/m²]]),
BT37+IF(BU$2=Input_Tidshorisont,SUM(Materialedata[[#This Row],[C3/m²]:[C4/m²]]),IF(MOD(BU$2,Materialedata[[#This Row],[Levetid]])=0,SUM(Materialedata[[#This Row],[A1-A3/m²]:[C4/m²]]),0))
))</f>
        <v>-5.3237837837837851</v>
      </c>
      <c r="BV37" s="141">
        <f>IF(BV$2&gt;Input_Tidshorisont,BlankTegn,IF(BV$2=0,SUM(Materialedata[[#This Row],[A1-A3/m²]:[A4/m²]]),
BU37+IF(BV$2=Input_Tidshorisont,SUM(Materialedata[[#This Row],[C3/m²]:[C4/m²]]),IF(MOD(BV$2,Materialedata[[#This Row],[Levetid]])=0,SUM(Materialedata[[#This Row],[A1-A3/m²]:[C4/m²]]),0))
))</f>
        <v>-5.3237837837837851</v>
      </c>
      <c r="BW37" s="141">
        <f>IF(BW$2&gt;Input_Tidshorisont,BlankTegn,IF(BW$2=0,SUM(Materialedata[[#This Row],[A1-A3/m²]:[A4/m²]]),
BV37+IF(BW$2=Input_Tidshorisont,SUM(Materialedata[[#This Row],[C3/m²]:[C4/m²]]),IF(MOD(BW$2,Materialedata[[#This Row],[Levetid]])=0,SUM(Materialedata[[#This Row],[A1-A3/m²]:[C4/m²]]),0))
))</f>
        <v>-5.3237837837837851</v>
      </c>
      <c r="BX37" s="141">
        <f>IF(BX$2&gt;Input_Tidshorisont,BlankTegn,IF(BX$2=0,SUM(Materialedata[[#This Row],[A1-A3/m²]:[A4/m²]]),
BW37+IF(BX$2=Input_Tidshorisont,SUM(Materialedata[[#This Row],[C3/m²]:[C4/m²]]),IF(MOD(BX$2,Materialedata[[#This Row],[Levetid]])=0,SUM(Materialedata[[#This Row],[A1-A3/m²]:[C4/m²]]),0))
))</f>
        <v>-5.3237837837837851</v>
      </c>
      <c r="BY37" s="141">
        <f>IF(BY$2&gt;Input_Tidshorisont,BlankTegn,IF(BY$2=0,SUM(Materialedata[[#This Row],[A1-A3/m²]:[A4/m²]]),
BX37+IF(BY$2=Input_Tidshorisont,SUM(Materialedata[[#This Row],[C3/m²]:[C4/m²]]),IF(MOD(BY$2,Materialedata[[#This Row],[Levetid]])=0,SUM(Materialedata[[#This Row],[A1-A3/m²]:[C4/m²]]),0))
))</f>
        <v>-5.3237837837837851</v>
      </c>
      <c r="BZ37" s="141">
        <f>IF(BZ$2&gt;Input_Tidshorisont,BlankTegn,IF(BZ$2=0,SUM(Materialedata[[#This Row],[A1-A3/m²]:[A4/m²]]),
BY37+IF(BZ$2=Input_Tidshorisont,SUM(Materialedata[[#This Row],[C3/m²]:[C4/m²]]),IF(MOD(BZ$2,Materialedata[[#This Row],[Levetid]])=0,SUM(Materialedata[[#This Row],[A1-A3/m²]:[C4/m²]]),0))
))</f>
        <v>-5.3237837837837851</v>
      </c>
      <c r="CA37" s="141">
        <f>IF(CA$2&gt;Input_Tidshorisont,BlankTegn,IF(CA$2=0,SUM(Materialedata[[#This Row],[A1-A3/m²]:[A4/m²]]),
BZ37+IF(CA$2=Input_Tidshorisont,SUM(Materialedata[[#This Row],[C3/m²]:[C4/m²]]),IF(MOD(CA$2,Materialedata[[#This Row],[Levetid]])=0,SUM(Materialedata[[#This Row],[A1-A3/m²]:[C4/m²]]),0))
))</f>
        <v>-5.3237837837837851</v>
      </c>
      <c r="CB37" s="141">
        <f>IF(CB$2&gt;Input_Tidshorisont,BlankTegn,IF(CB$2=0,SUM(Materialedata[[#This Row],[A1-A3/m²]:[A4/m²]]),
CA37+IF(CB$2=Input_Tidshorisont,SUM(Materialedata[[#This Row],[C3/m²]:[C4/m²]]),IF(MOD(CB$2,Materialedata[[#This Row],[Levetid]])=0,SUM(Materialedata[[#This Row],[A1-A3/m²]:[C4/m²]]),0))
))</f>
        <v>-5.3237837837837851</v>
      </c>
      <c r="CC37" s="141">
        <f>IF(CC$2&gt;Input_Tidshorisont,BlankTegn,IF(CC$2=0,SUM(Materialedata[[#This Row],[A1-A3/m²]:[A4/m²]]),
CB37+IF(CC$2=Input_Tidshorisont,SUM(Materialedata[[#This Row],[C3/m²]:[C4/m²]]),IF(MOD(CC$2,Materialedata[[#This Row],[Levetid]])=0,SUM(Materialedata[[#This Row],[A1-A3/m²]:[C4/m²]]),0))
))</f>
        <v>-5.3237837837837851</v>
      </c>
      <c r="CD37" s="141">
        <f>IF(CD$2&gt;Input_Tidshorisont,BlankTegn,IF(CD$2=0,SUM(Materialedata[[#This Row],[A1-A3/m²]:[A4/m²]]),
CC37+IF(CD$2=Input_Tidshorisont,SUM(Materialedata[[#This Row],[C3/m²]:[C4/m²]]),IF(MOD(CD$2,Materialedata[[#This Row],[Levetid]])=0,SUM(Materialedata[[#This Row],[A1-A3/m²]:[C4/m²]]),0))
))</f>
        <v>-5.3237837837837851</v>
      </c>
      <c r="CE37" s="141">
        <f>IF(CE$2&gt;Input_Tidshorisont,BlankTegn,IF(CE$2=0,SUM(Materialedata[[#This Row],[A1-A3/m²]:[A4/m²]]),
CD37+IF(CE$2=Input_Tidshorisont,SUM(Materialedata[[#This Row],[C3/m²]:[C4/m²]]),IF(MOD(CE$2,Materialedata[[#This Row],[Levetid]])=0,SUM(Materialedata[[#This Row],[A1-A3/m²]:[C4/m²]]),0))
))</f>
        <v>-5.3237837837837851</v>
      </c>
      <c r="CF37" s="141">
        <f>IF(CF$2&gt;Input_Tidshorisont,BlankTegn,IF(CF$2=0,SUM(Materialedata[[#This Row],[A1-A3/m²]:[A4/m²]]),
CE37+IF(CF$2=Input_Tidshorisont,SUM(Materialedata[[#This Row],[C3/m²]:[C4/m²]]),IF(MOD(CF$2,Materialedata[[#This Row],[Levetid]])=0,SUM(Materialedata[[#This Row],[A1-A3/m²]:[C4/m²]]),0))
))</f>
        <v>-5.3237837837837851</v>
      </c>
      <c r="CG37" s="141">
        <f>IF(CG$2&gt;Input_Tidshorisont,BlankTegn,IF(CG$2=0,SUM(Materialedata[[#This Row],[A1-A3/m²]:[A4/m²]]),
CF37+IF(CG$2=Input_Tidshorisont,SUM(Materialedata[[#This Row],[C3/m²]:[C4/m²]]),IF(MOD(CG$2,Materialedata[[#This Row],[Levetid]])=0,SUM(Materialedata[[#This Row],[A1-A3/m²]:[C4/m²]]),0))
))</f>
        <v>-5.3237837837837851</v>
      </c>
      <c r="CH37" s="141">
        <f>IF(CH$2&gt;Input_Tidshorisont,BlankTegn,IF(CH$2=0,SUM(Materialedata[[#This Row],[A1-A3/m²]:[A4/m²]]),
CG37+IF(CH$2=Input_Tidshorisont,SUM(Materialedata[[#This Row],[C3/m²]:[C4/m²]]),IF(MOD(CH$2,Materialedata[[#This Row],[Levetid]])=0,SUM(Materialedata[[#This Row],[A1-A3/m²]:[C4/m²]]),0))
))</f>
        <v>3.3796594594594591</v>
      </c>
      <c r="CI37" s="141" t="str">
        <f>IF(CI$2&gt;Input_Tidshorisont,BlankTegn,IF(CI$2=0,SUM(Materialedata[[#This Row],[A1-A3/m²]:[A4/m²]]),
CH37+IF(CI$2=Input_Tidshorisont,SUM(Materialedata[[#This Row],[C3/m²]:[C4/m²]]),IF(MOD(CI$2,Materialedata[[#This Row],[Levetid]])=0,SUM(Materialedata[[#This Row],[A1-A3/m²]:[C4/m²]]),0))
))</f>
        <v>.</v>
      </c>
      <c r="CJ37" s="141" t="str">
        <f>IF(CJ$2&gt;Input_Tidshorisont,BlankTegn,IF(CJ$2=0,SUM(Materialedata[[#This Row],[A1-A3/m²]:[A4/m²]]),
CI37+IF(CJ$2=Input_Tidshorisont,SUM(Materialedata[[#This Row],[C3/m²]:[C4/m²]]),IF(MOD(CJ$2,Materialedata[[#This Row],[Levetid]])=0,SUM(Materialedata[[#This Row],[A1-A3/m²]:[C4/m²]]),0))
))</f>
        <v>.</v>
      </c>
      <c r="CK37" s="141" t="str">
        <f>IF(CK$2&gt;Input_Tidshorisont,BlankTegn,IF(CK$2=0,SUM(Materialedata[[#This Row],[A1-A3/m²]:[A4/m²]]),
CJ37+IF(CK$2=Input_Tidshorisont,SUM(Materialedata[[#This Row],[C3/m²]:[C4/m²]]),IF(MOD(CK$2,Materialedata[[#This Row],[Levetid]])=0,SUM(Materialedata[[#This Row],[A1-A3/m²]:[C4/m²]]),0))
))</f>
        <v>.</v>
      </c>
      <c r="CL37" s="141" t="str">
        <f>IF(CL$2&gt;Input_Tidshorisont,BlankTegn,IF(CL$2=0,SUM(Materialedata[[#This Row],[A1-A3/m²]:[A4/m²]]),
CK37+IF(CL$2=Input_Tidshorisont,SUM(Materialedata[[#This Row],[C3/m²]:[C4/m²]]),IF(MOD(CL$2,Materialedata[[#This Row],[Levetid]])=0,SUM(Materialedata[[#This Row],[A1-A3/m²]:[C4/m²]]),0))
))</f>
        <v>.</v>
      </c>
      <c r="CM37" s="141" t="str">
        <f>IF(CM$2&gt;Input_Tidshorisont,BlankTegn,IF(CM$2=0,SUM(Materialedata[[#This Row],[A1-A3/m²]:[A4/m²]]),
CL37+IF(CM$2=Input_Tidshorisont,SUM(Materialedata[[#This Row],[C3/m²]:[C4/m²]]),IF(MOD(CM$2,Materialedata[[#This Row],[Levetid]])=0,SUM(Materialedata[[#This Row],[A1-A3/m²]:[C4/m²]]),0))
))</f>
        <v>.</v>
      </c>
      <c r="CN37" s="141" t="str">
        <f>IF(CN$2&gt;Input_Tidshorisont,BlankTegn,IF(CN$2=0,SUM(Materialedata[[#This Row],[A1-A3/m²]:[A4/m²]]),
CM37+IF(CN$2=Input_Tidshorisont,SUM(Materialedata[[#This Row],[C3/m²]:[C4/m²]]),IF(MOD(CN$2,Materialedata[[#This Row],[Levetid]])=0,SUM(Materialedata[[#This Row],[A1-A3/m²]:[C4/m²]]),0))
))</f>
        <v>.</v>
      </c>
      <c r="CO37" s="141" t="str">
        <f>IF(CO$2&gt;Input_Tidshorisont,BlankTegn,IF(CO$2=0,SUM(Materialedata[[#This Row],[A1-A3/m²]:[A4/m²]]),
CN37+IF(CO$2=Input_Tidshorisont,SUM(Materialedata[[#This Row],[C3/m²]:[C4/m²]]),IF(MOD(CO$2,Materialedata[[#This Row],[Levetid]])=0,SUM(Materialedata[[#This Row],[A1-A3/m²]:[C4/m²]]),0))
))</f>
        <v>.</v>
      </c>
      <c r="CP37" s="141" t="str">
        <f>IF(CP$2&gt;Input_Tidshorisont,BlankTegn,IF(CP$2=0,SUM(Materialedata[[#This Row],[A1-A3/m²]:[A4/m²]]),
CO37+IF(CP$2=Input_Tidshorisont,SUM(Materialedata[[#This Row],[C3/m²]:[C4/m²]]),IF(MOD(CP$2,Materialedata[[#This Row],[Levetid]])=0,SUM(Materialedata[[#This Row],[A1-A3/m²]:[C4/m²]]),0))
))</f>
        <v>.</v>
      </c>
      <c r="CQ37" s="141" t="str">
        <f>IF(CQ$2&gt;Input_Tidshorisont,BlankTegn,IF(CQ$2=0,SUM(Materialedata[[#This Row],[A1-A3/m²]:[A4/m²]]),
CP37+IF(CQ$2=Input_Tidshorisont,SUM(Materialedata[[#This Row],[C3/m²]:[C4/m²]]),IF(MOD(CQ$2,Materialedata[[#This Row],[Levetid]])=0,SUM(Materialedata[[#This Row],[A1-A3/m²]:[C4/m²]]),0))
))</f>
        <v>.</v>
      </c>
      <c r="CR37" s="141" t="str">
        <f>IF(CR$2&gt;Input_Tidshorisont,BlankTegn,IF(CR$2=0,SUM(Materialedata[[#This Row],[A1-A3/m²]:[A4/m²]]),
CQ37+IF(CR$2=Input_Tidshorisont,SUM(Materialedata[[#This Row],[C3/m²]:[C4/m²]]),IF(MOD(CR$2,Materialedata[[#This Row],[Levetid]])=0,SUM(Materialedata[[#This Row],[A1-A3/m²]:[C4/m²]]),0))
))</f>
        <v>.</v>
      </c>
      <c r="CS37" s="141" t="str">
        <f>IF(CS$2&gt;Input_Tidshorisont,BlankTegn,IF(CS$2=0,SUM(Materialedata[[#This Row],[A1-A3/m²]:[A4/m²]]),
CR37+IF(CS$2=Input_Tidshorisont,SUM(Materialedata[[#This Row],[C3/m²]:[C4/m²]]),IF(MOD(CS$2,Materialedata[[#This Row],[Levetid]])=0,SUM(Materialedata[[#This Row],[A1-A3/m²]:[C4/m²]]),0))
))</f>
        <v>.</v>
      </c>
      <c r="CT37" s="141" t="str">
        <f>IF(CT$2&gt;Input_Tidshorisont,BlankTegn,IF(CT$2=0,SUM(Materialedata[[#This Row],[A1-A3/m²]:[A4/m²]]),
CS37+IF(CT$2=Input_Tidshorisont,SUM(Materialedata[[#This Row],[C3/m²]:[C4/m²]]),IF(MOD(CT$2,Materialedata[[#This Row],[Levetid]])=0,SUM(Materialedata[[#This Row],[A1-A3/m²]:[C4/m²]]),0))
))</f>
        <v>.</v>
      </c>
      <c r="CU37" s="141" t="str">
        <f>IF(CU$2&gt;Input_Tidshorisont,BlankTegn,IF(CU$2=0,SUM(Materialedata[[#This Row],[A1-A3/m²]:[A4/m²]]),
CT37+IF(CU$2=Input_Tidshorisont,SUM(Materialedata[[#This Row],[C3/m²]:[C4/m²]]),IF(MOD(CU$2,Materialedata[[#This Row],[Levetid]])=0,SUM(Materialedata[[#This Row],[A1-A3/m²]:[C4/m²]]),0))
))</f>
        <v>.</v>
      </c>
      <c r="CV37" s="141" t="str">
        <f>IF(CV$2&gt;Input_Tidshorisont,BlankTegn,IF(CV$2=0,SUM(Materialedata[[#This Row],[A1-A3/m²]:[A4/m²]]),
CU37+IF(CV$2=Input_Tidshorisont,SUM(Materialedata[[#This Row],[C3/m²]:[C4/m²]]),IF(MOD(CV$2,Materialedata[[#This Row],[Levetid]])=0,SUM(Materialedata[[#This Row],[A1-A3/m²]:[C4/m²]]),0))
))</f>
        <v>.</v>
      </c>
      <c r="CW37" s="141" t="str">
        <f>IF(CW$2&gt;Input_Tidshorisont,BlankTegn,IF(CW$2=0,SUM(Materialedata[[#This Row],[A1-A3/m²]:[A4/m²]]),
CV37+IF(CW$2=Input_Tidshorisont,SUM(Materialedata[[#This Row],[C3/m²]:[C4/m²]]),IF(MOD(CW$2,Materialedata[[#This Row],[Levetid]])=0,SUM(Materialedata[[#This Row],[A1-A3/m²]:[C4/m²]]),0))
))</f>
        <v>.</v>
      </c>
      <c r="CX37" s="141" t="str">
        <f>IF(CX$2&gt;Input_Tidshorisont,BlankTegn,IF(CX$2=0,SUM(Materialedata[[#This Row],[A1-A3/m²]:[A4/m²]]),
CW37+IF(CX$2=Input_Tidshorisont,SUM(Materialedata[[#This Row],[C3/m²]:[C4/m²]]),IF(MOD(CX$2,Materialedata[[#This Row],[Levetid]])=0,SUM(Materialedata[[#This Row],[A1-A3/m²]:[C4/m²]]),0))
))</f>
        <v>.</v>
      </c>
      <c r="CY37" s="141" t="str">
        <f>IF(CY$2&gt;Input_Tidshorisont,BlankTegn,IF(CY$2=0,SUM(Materialedata[[#This Row],[A1-A3/m²]:[A4/m²]]),
CX37+IF(CY$2=Input_Tidshorisont,SUM(Materialedata[[#This Row],[C3/m²]:[C4/m²]]),IF(MOD(CY$2,Materialedata[[#This Row],[Levetid]])=0,SUM(Materialedata[[#This Row],[A1-A3/m²]:[C4/m²]]),0))
))</f>
        <v>.</v>
      </c>
      <c r="CZ37" s="141" t="str">
        <f>IF(CZ$2&gt;Input_Tidshorisont,BlankTegn,IF(CZ$2=0,SUM(Materialedata[[#This Row],[A1-A3/m²]:[A4/m²]]),
CY37+IF(CZ$2=Input_Tidshorisont,SUM(Materialedata[[#This Row],[C3/m²]:[C4/m²]]),IF(MOD(CZ$2,Materialedata[[#This Row],[Levetid]])=0,SUM(Materialedata[[#This Row],[A1-A3/m²]:[C4/m²]]),0))
))</f>
        <v>.</v>
      </c>
      <c r="DA37" s="141" t="str">
        <f>IF(DA$2&gt;Input_Tidshorisont,BlankTegn,IF(DA$2=0,SUM(Materialedata[[#This Row],[A1-A3/m²]:[A4/m²]]),
CZ37+IF(DA$2=Input_Tidshorisont,SUM(Materialedata[[#This Row],[C3/m²]:[C4/m²]]),IF(MOD(DA$2,Materialedata[[#This Row],[Levetid]])=0,SUM(Materialedata[[#This Row],[A1-A3/m²]:[C4/m²]]),0))
))</f>
        <v>.</v>
      </c>
      <c r="DB37" s="141" t="str">
        <f>IF(DB$2&gt;Input_Tidshorisont,BlankTegn,IF(DB$2=0,SUM(Materialedata[[#This Row],[A1-A3/m²]:[A4/m²]]),
DA37+IF(DB$2=Input_Tidshorisont,SUM(Materialedata[[#This Row],[C3/m²]:[C4/m²]]),IF(MOD(DB$2,Materialedata[[#This Row],[Levetid]])=0,SUM(Materialedata[[#This Row],[A1-A3/m²]:[C4/m²]]),0))
))</f>
        <v>.</v>
      </c>
      <c r="DC37" s="141" t="str">
        <f>IF(DC$2&gt;Input_Tidshorisont,BlankTegn,IF(DC$2=0,SUM(Materialedata[[#This Row],[A1-A3/m²]:[A4/m²]]),
DB37+IF(DC$2=Input_Tidshorisont,SUM(Materialedata[[#This Row],[C3/m²]:[C4/m²]]),IF(MOD(DC$2,Materialedata[[#This Row],[Levetid]])=0,SUM(Materialedata[[#This Row],[A1-A3/m²]:[C4/m²]]),0))
))</f>
        <v>.</v>
      </c>
      <c r="DD37" s="141" t="str">
        <f>IF(DD$2&gt;Input_Tidshorisont,BlankTegn,IF(DD$2=0,SUM(Materialedata[[#This Row],[A1-A3/m²]:[A4/m²]]),
DC37+IF(DD$2=Input_Tidshorisont,SUM(Materialedata[[#This Row],[C3/m²]:[C4/m²]]),IF(MOD(DD$2,Materialedata[[#This Row],[Levetid]])=0,SUM(Materialedata[[#This Row],[A1-A3/m²]:[C4/m²]]),0))
))</f>
        <v>.</v>
      </c>
      <c r="DE37" s="141" t="str">
        <f>IF(DE$2&gt;Input_Tidshorisont,BlankTegn,IF(DE$2=0,SUM(Materialedata[[#This Row],[A1-A3/m²]:[A4/m²]]),
DD37+IF(DE$2=Input_Tidshorisont,SUM(Materialedata[[#This Row],[C3/m²]:[C4/m²]]),IF(MOD(DE$2,Materialedata[[#This Row],[Levetid]])=0,SUM(Materialedata[[#This Row],[A1-A3/m²]:[C4/m²]]),0))
))</f>
        <v>.</v>
      </c>
      <c r="DF37" s="141" t="str">
        <f>IF(DF$2&gt;Input_Tidshorisont,BlankTegn,IF(DF$2=0,SUM(Materialedata[[#This Row],[A1-A3/m²]:[A4/m²]]),
DE37+IF(DF$2=Input_Tidshorisont,SUM(Materialedata[[#This Row],[C3/m²]:[C4/m²]]),IF(MOD(DF$2,Materialedata[[#This Row],[Levetid]])=0,SUM(Materialedata[[#This Row],[A1-A3/m²]:[C4/m²]]),0))
))</f>
        <v>.</v>
      </c>
      <c r="DG37" s="141" t="str">
        <f>IF(DG$2&gt;Input_Tidshorisont,BlankTegn,IF(DG$2=0,SUM(Materialedata[[#This Row],[A1-A3/m²]:[A4/m²]]),
DF37+IF(DG$2=Input_Tidshorisont,SUM(Materialedata[[#This Row],[C3/m²]:[C4/m²]]),IF(MOD(DG$2,Materialedata[[#This Row],[Levetid]])=0,SUM(Materialedata[[#This Row],[A1-A3/m²]:[C4/m²]]),0))
))</f>
        <v>.</v>
      </c>
      <c r="DH37" s="141" t="str">
        <f>IF(DH$2&gt;Input_Tidshorisont,BlankTegn,IF(DH$2=0,SUM(Materialedata[[#This Row],[A1-A3/m²]:[A4/m²]]),
DG37+IF(DH$2=Input_Tidshorisont,SUM(Materialedata[[#This Row],[C3/m²]:[C4/m²]]),IF(MOD(DH$2,Materialedata[[#This Row],[Levetid]])=0,SUM(Materialedata[[#This Row],[A1-A3/m²]:[C4/m²]]),0))
))</f>
        <v>.</v>
      </c>
      <c r="DI37" s="141" t="str">
        <f>IF(DI$2&gt;Input_Tidshorisont,BlankTegn,IF(DI$2=0,SUM(Materialedata[[#This Row],[A1-A3/m²]:[A4/m²]]),
DH37+IF(DI$2=Input_Tidshorisont,SUM(Materialedata[[#This Row],[C3/m²]:[C4/m²]]),IF(MOD(DI$2,Materialedata[[#This Row],[Levetid]])=0,SUM(Materialedata[[#This Row],[A1-A3/m²]:[C4/m²]]),0))
))</f>
        <v>.</v>
      </c>
      <c r="DJ37" s="141" t="str">
        <f>IF(DJ$2&gt;Input_Tidshorisont,BlankTegn,IF(DJ$2=0,SUM(Materialedata[[#This Row],[A1-A3/m²]:[A4/m²]]),
DI37+IF(DJ$2=Input_Tidshorisont,SUM(Materialedata[[#This Row],[C3/m²]:[C4/m²]]),IF(MOD(DJ$2,Materialedata[[#This Row],[Levetid]])=0,SUM(Materialedata[[#This Row],[A1-A3/m²]:[C4/m²]]),0))
))</f>
        <v>.</v>
      </c>
      <c r="DK37" s="141" t="str">
        <f>IF(DK$2&gt;Input_Tidshorisont,BlankTegn,IF(DK$2=0,SUM(Materialedata[[#This Row],[A1-A3/m²]:[A4/m²]]),
DJ37+IF(DK$2=Input_Tidshorisont,SUM(Materialedata[[#This Row],[C3/m²]:[C4/m²]]),IF(MOD(DK$2,Materialedata[[#This Row],[Levetid]])=0,SUM(Materialedata[[#This Row],[A1-A3/m²]:[C4/m²]]),0))
))</f>
        <v>.</v>
      </c>
      <c r="DL37" s="141" t="str">
        <f>IF(DL$2&gt;Input_Tidshorisont,BlankTegn,IF(DL$2=0,SUM(Materialedata[[#This Row],[A1-A3/m²]:[A4/m²]]),
DK37+IF(DL$2=Input_Tidshorisont,SUM(Materialedata[[#This Row],[C3/m²]:[C4/m²]]),IF(MOD(DL$2,Materialedata[[#This Row],[Levetid]])=0,SUM(Materialedata[[#This Row],[A1-A3/m²]:[C4/m²]]),0))
))</f>
        <v>.</v>
      </c>
      <c r="DM37" s="19"/>
    </row>
    <row r="38" spans="1:117" ht="24">
      <c r="A38" s="182" t="s">
        <v>40</v>
      </c>
      <c r="B38" s="182" t="s">
        <v>43</v>
      </c>
      <c r="C38" s="148" t="s">
        <v>144</v>
      </c>
      <c r="D38" s="180"/>
      <c r="E38" s="180" t="s">
        <v>286</v>
      </c>
      <c r="F38" s="182" t="s">
        <v>140</v>
      </c>
      <c r="G38" s="182">
        <v>120</v>
      </c>
      <c r="H38" s="183">
        <v>500</v>
      </c>
      <c r="I38" s="193">
        <f>(0.03*0.05*2)/1.2</f>
        <v>2.5000000000000001E-3</v>
      </c>
      <c r="J38" s="184" t="s">
        <v>232</v>
      </c>
      <c r="K38" s="182">
        <v>-6.0999999999999999E-2</v>
      </c>
      <c r="L38" s="182" t="s">
        <v>206</v>
      </c>
      <c r="M38" s="185">
        <f>IF(ISBLANK(Materialedata[[#This Row],[A4-gruppe]]),BlankTegn,INDEX(Byggeproces[GWP],MATCH(Materialedata[[#This Row],[A4-gruppe]],Byggeproces[Gruppe/Undergruppe],0)))</f>
        <v>7.4000000000000003E-3</v>
      </c>
      <c r="N38" s="182">
        <v>743</v>
      </c>
      <c r="O38" s="182">
        <v>0</v>
      </c>
      <c r="P38" s="182">
        <v>-3.95E-2</v>
      </c>
      <c r="Q38" s="344">
        <f>Materialedata[[#This Row],[A1-A3/standardenhed]]*Materialedata[[#This Row],[Mængde/m²]]</f>
        <v>-1.5249999999999999E-4</v>
      </c>
      <c r="R38" s="278" cm="1">
        <f t="array" ref="R38">IFERROR(_xlfn.IFS(Materialedata[[#This Row],[Mængde-enhed]]="kg/m²",Materialedata[[#This Row],[A4/kg]]*Materialedata[[#This Row],[Mængde/m²]],Materialedata[[#This Row],[Mængde-enhed]]="m³/m²",Materialedata[[#This Row],[A4/kg]]*Materialedata[[#This Row],[Mængde/m²]]*Materialedata[[#This Row],[Densitet]]),"N/A")</f>
        <v>9.2500000000000013E-3</v>
      </c>
      <c r="S38" s="277">
        <f>Materialedata[[#This Row],[C3/enhed]]*Materialedata[[#This Row],[Mængde/m²]]</f>
        <v>1.8574999999999999</v>
      </c>
      <c r="T38" s="277">
        <f>Materialedata[[#This Row],[C4/enhed]]*Materialedata[[#This Row],[Mængde/m²]]</f>
        <v>0</v>
      </c>
      <c r="U38" s="277">
        <f>Materialedata[[#This Row],[D/enhed]]*Materialedata[[#This Row],[Mængde/m²]]</f>
        <v>-9.8750000000000002E-5</v>
      </c>
      <c r="V38" s="150">
        <f>IFERROR(INDEX(Range_Materiale_Genbrug,MATCH(Materialedata[[#This Row],[Komponent]],Facadekomponenter,0)),BlankTegn)</f>
        <v>0</v>
      </c>
      <c r="W38" s="150">
        <f>IFERROR(1-Materialedata[[#This Row],[Genbrug]],BlankTegn)</f>
        <v>1</v>
      </c>
      <c r="X38" s="186">
        <f>IFERROR(Materialedata[[#This Row],[A1-A3/m²_nyt]]*Materialedata[[#This Row],[Nyt]],BlankTegn)</f>
        <v>-1.5249999999999999E-4</v>
      </c>
      <c r="Y38" s="186">
        <f>Materialedata[[#This Row],[A4/m²_nyt]]</f>
        <v>9.2500000000000013E-3</v>
      </c>
      <c r="Z38" s="186">
        <f>IFERROR(Materialedata[[#This Row],[C3/m²_nyt]]*Materialedata[[#This Row],[Nyt]],BlankTegn)</f>
        <v>1.8574999999999999</v>
      </c>
      <c r="AA38" s="186">
        <f>IFERROR(Materialedata[[#This Row],[C4/m²_nyt]]*Materialedata[[#This Row],[Nyt]],BlankTegn)</f>
        <v>0</v>
      </c>
      <c r="AB38" s="186">
        <f>IFERROR(Materialedata[[#This Row],[D/m²_nyt]]*Materialedata[[#This Row],[Nyt]],BlankTegn)</f>
        <v>-9.8750000000000002E-5</v>
      </c>
      <c r="AC38" s="187">
        <f>31.3741003386429*3</f>
        <v>94.122301015928699</v>
      </c>
      <c r="AD38" s="188" t="s">
        <v>29</v>
      </c>
      <c r="AE38" s="391">
        <v>1</v>
      </c>
      <c r="AF38" s="189">
        <f>Materialedata[[#This Row],[Pris/enhed]]*Materialedata[[#This Row],[Omregning]]</f>
        <v>94.122301015928699</v>
      </c>
      <c r="AG38" s="190">
        <v>0.02</v>
      </c>
      <c r="AH38" s="191">
        <v>1</v>
      </c>
      <c r="AI38" s="162">
        <v>0</v>
      </c>
      <c r="AJ38" s="141">
        <f>IF(AJ$2&gt;Input_Tidshorisont,BlankTegn,IF(AJ$2=0,SUM(Materialedata[[#This Row],[A1-A3/m²]:[A4/m²]]),
AI38+IF(AJ$2=Input_Tidshorisont,SUM(Materialedata[[#This Row],[C3/m²]:[C4/m²]]),IF(MOD(AJ$2,Materialedata[[#This Row],[Levetid]])=0,SUM(Materialedata[[#This Row],[A1-A3/m²]:[C4/m²]]),0))
))</f>
        <v>9.0975000000000014E-3</v>
      </c>
      <c r="AK38" s="141">
        <f>IF(AK$2&gt;Input_Tidshorisont,BlankTegn,IF(AK$2=0,SUM(Materialedata[[#This Row],[A1-A3/m²]:[A4/m²]]),
AJ38+IF(AK$2=Input_Tidshorisont,SUM(Materialedata[[#This Row],[C3/m²]:[C4/m²]]),IF(MOD(AK$2,Materialedata[[#This Row],[Levetid]])=0,SUM(Materialedata[[#This Row],[A1-A3/m²]:[C4/m²]]),0))
))</f>
        <v>9.0975000000000014E-3</v>
      </c>
      <c r="AL38" s="141">
        <f>IF(AL$2&gt;Input_Tidshorisont,BlankTegn,IF(AL$2=0,SUM(Materialedata[[#This Row],[A1-A3/m²]:[A4/m²]]),
AK38+IF(AL$2=Input_Tidshorisont,SUM(Materialedata[[#This Row],[C3/m²]:[C4/m²]]),IF(MOD(AL$2,Materialedata[[#This Row],[Levetid]])=0,SUM(Materialedata[[#This Row],[A1-A3/m²]:[C4/m²]]),0))
))</f>
        <v>9.0975000000000014E-3</v>
      </c>
      <c r="AM38" s="141">
        <f>IF(AM$2&gt;Input_Tidshorisont,BlankTegn,IF(AM$2=0,SUM(Materialedata[[#This Row],[A1-A3/m²]:[A4/m²]]),
AL38+IF(AM$2=Input_Tidshorisont,SUM(Materialedata[[#This Row],[C3/m²]:[C4/m²]]),IF(MOD(AM$2,Materialedata[[#This Row],[Levetid]])=0,SUM(Materialedata[[#This Row],[A1-A3/m²]:[C4/m²]]),0))
))</f>
        <v>9.0975000000000014E-3</v>
      </c>
      <c r="AN38" s="141">
        <f>IF(AN$2&gt;Input_Tidshorisont,BlankTegn,IF(AN$2=0,SUM(Materialedata[[#This Row],[A1-A3/m²]:[A4/m²]]),
AM38+IF(AN$2=Input_Tidshorisont,SUM(Materialedata[[#This Row],[C3/m²]:[C4/m²]]),IF(MOD(AN$2,Materialedata[[#This Row],[Levetid]])=0,SUM(Materialedata[[#This Row],[A1-A3/m²]:[C4/m²]]),0))
))</f>
        <v>9.0975000000000014E-3</v>
      </c>
      <c r="AO38" s="141">
        <f>IF(AO$2&gt;Input_Tidshorisont,BlankTegn,IF(AO$2=0,SUM(Materialedata[[#This Row],[A1-A3/m²]:[A4/m²]]),
AN38+IF(AO$2=Input_Tidshorisont,SUM(Materialedata[[#This Row],[C3/m²]:[C4/m²]]),IF(MOD(AO$2,Materialedata[[#This Row],[Levetid]])=0,SUM(Materialedata[[#This Row],[A1-A3/m²]:[C4/m²]]),0))
))</f>
        <v>9.0975000000000014E-3</v>
      </c>
      <c r="AP38" s="141">
        <f>IF(AP$2&gt;Input_Tidshorisont,BlankTegn,IF(AP$2=0,SUM(Materialedata[[#This Row],[A1-A3/m²]:[A4/m²]]),
AO38+IF(AP$2=Input_Tidshorisont,SUM(Materialedata[[#This Row],[C3/m²]:[C4/m²]]),IF(MOD(AP$2,Materialedata[[#This Row],[Levetid]])=0,SUM(Materialedata[[#This Row],[A1-A3/m²]:[C4/m²]]),0))
))</f>
        <v>9.0975000000000014E-3</v>
      </c>
      <c r="AQ38" s="141">
        <f>IF(AQ$2&gt;Input_Tidshorisont,BlankTegn,IF(AQ$2=0,SUM(Materialedata[[#This Row],[A1-A3/m²]:[A4/m²]]),
AP38+IF(AQ$2=Input_Tidshorisont,SUM(Materialedata[[#This Row],[C3/m²]:[C4/m²]]),IF(MOD(AQ$2,Materialedata[[#This Row],[Levetid]])=0,SUM(Materialedata[[#This Row],[A1-A3/m²]:[C4/m²]]),0))
))</f>
        <v>9.0975000000000014E-3</v>
      </c>
      <c r="AR38" s="141">
        <f>IF(AR$2&gt;Input_Tidshorisont,BlankTegn,IF(AR$2=0,SUM(Materialedata[[#This Row],[A1-A3/m²]:[A4/m²]]),
AQ38+IF(AR$2=Input_Tidshorisont,SUM(Materialedata[[#This Row],[C3/m²]:[C4/m²]]),IF(MOD(AR$2,Materialedata[[#This Row],[Levetid]])=0,SUM(Materialedata[[#This Row],[A1-A3/m²]:[C4/m²]]),0))
))</f>
        <v>9.0975000000000014E-3</v>
      </c>
      <c r="AS38" s="141">
        <f>IF(AS$2&gt;Input_Tidshorisont,BlankTegn,IF(AS$2=0,SUM(Materialedata[[#This Row],[A1-A3/m²]:[A4/m²]]),
AR38+IF(AS$2=Input_Tidshorisont,SUM(Materialedata[[#This Row],[C3/m²]:[C4/m²]]),IF(MOD(AS$2,Materialedata[[#This Row],[Levetid]])=0,SUM(Materialedata[[#This Row],[A1-A3/m²]:[C4/m²]]),0))
))</f>
        <v>9.0975000000000014E-3</v>
      </c>
      <c r="AT38" s="141">
        <f>IF(AT$2&gt;Input_Tidshorisont,BlankTegn,IF(AT$2=0,SUM(Materialedata[[#This Row],[A1-A3/m²]:[A4/m²]]),
AS38+IF(AT$2=Input_Tidshorisont,SUM(Materialedata[[#This Row],[C3/m²]:[C4/m²]]),IF(MOD(AT$2,Materialedata[[#This Row],[Levetid]])=0,SUM(Materialedata[[#This Row],[A1-A3/m²]:[C4/m²]]),0))
))</f>
        <v>9.0975000000000014E-3</v>
      </c>
      <c r="AU38" s="141">
        <f>IF(AU$2&gt;Input_Tidshorisont,BlankTegn,IF(AU$2=0,SUM(Materialedata[[#This Row],[A1-A3/m²]:[A4/m²]]),
AT38+IF(AU$2=Input_Tidshorisont,SUM(Materialedata[[#This Row],[C3/m²]:[C4/m²]]),IF(MOD(AU$2,Materialedata[[#This Row],[Levetid]])=0,SUM(Materialedata[[#This Row],[A1-A3/m²]:[C4/m²]]),0))
))</f>
        <v>9.0975000000000014E-3</v>
      </c>
      <c r="AV38" s="141">
        <f>IF(AV$2&gt;Input_Tidshorisont,BlankTegn,IF(AV$2=0,SUM(Materialedata[[#This Row],[A1-A3/m²]:[A4/m²]]),
AU38+IF(AV$2=Input_Tidshorisont,SUM(Materialedata[[#This Row],[C3/m²]:[C4/m²]]),IF(MOD(AV$2,Materialedata[[#This Row],[Levetid]])=0,SUM(Materialedata[[#This Row],[A1-A3/m²]:[C4/m²]]),0))
))</f>
        <v>9.0975000000000014E-3</v>
      </c>
      <c r="AW38" s="141">
        <f>IF(AW$2&gt;Input_Tidshorisont,BlankTegn,IF(AW$2=0,SUM(Materialedata[[#This Row],[A1-A3/m²]:[A4/m²]]),
AV38+IF(AW$2=Input_Tidshorisont,SUM(Materialedata[[#This Row],[C3/m²]:[C4/m²]]),IF(MOD(AW$2,Materialedata[[#This Row],[Levetid]])=0,SUM(Materialedata[[#This Row],[A1-A3/m²]:[C4/m²]]),0))
))</f>
        <v>9.0975000000000014E-3</v>
      </c>
      <c r="AX38" s="141">
        <f>IF(AX$2&gt;Input_Tidshorisont,BlankTegn,IF(AX$2=0,SUM(Materialedata[[#This Row],[A1-A3/m²]:[A4/m²]]),
AW38+IF(AX$2=Input_Tidshorisont,SUM(Materialedata[[#This Row],[C3/m²]:[C4/m²]]),IF(MOD(AX$2,Materialedata[[#This Row],[Levetid]])=0,SUM(Materialedata[[#This Row],[A1-A3/m²]:[C4/m²]]),0))
))</f>
        <v>9.0975000000000014E-3</v>
      </c>
      <c r="AY38" s="141">
        <f>IF(AY$2&gt;Input_Tidshorisont,BlankTegn,IF(AY$2=0,SUM(Materialedata[[#This Row],[A1-A3/m²]:[A4/m²]]),
AX38+IF(AY$2=Input_Tidshorisont,SUM(Materialedata[[#This Row],[C3/m²]:[C4/m²]]),IF(MOD(AY$2,Materialedata[[#This Row],[Levetid]])=0,SUM(Materialedata[[#This Row],[A1-A3/m²]:[C4/m²]]),0))
))</f>
        <v>9.0975000000000014E-3</v>
      </c>
      <c r="AZ38" s="141">
        <f>IF(AZ$2&gt;Input_Tidshorisont,BlankTegn,IF(AZ$2=0,SUM(Materialedata[[#This Row],[A1-A3/m²]:[A4/m²]]),
AY38+IF(AZ$2=Input_Tidshorisont,SUM(Materialedata[[#This Row],[C3/m²]:[C4/m²]]),IF(MOD(AZ$2,Materialedata[[#This Row],[Levetid]])=0,SUM(Materialedata[[#This Row],[A1-A3/m²]:[C4/m²]]),0))
))</f>
        <v>9.0975000000000014E-3</v>
      </c>
      <c r="BA38" s="141">
        <f>IF(BA$2&gt;Input_Tidshorisont,BlankTegn,IF(BA$2=0,SUM(Materialedata[[#This Row],[A1-A3/m²]:[A4/m²]]),
AZ38+IF(BA$2=Input_Tidshorisont,SUM(Materialedata[[#This Row],[C3/m²]:[C4/m²]]),IF(MOD(BA$2,Materialedata[[#This Row],[Levetid]])=0,SUM(Materialedata[[#This Row],[A1-A3/m²]:[C4/m²]]),0))
))</f>
        <v>9.0975000000000014E-3</v>
      </c>
      <c r="BB38" s="141">
        <f>IF(BB$2&gt;Input_Tidshorisont,BlankTegn,IF(BB$2=0,SUM(Materialedata[[#This Row],[A1-A3/m²]:[A4/m²]]),
BA38+IF(BB$2=Input_Tidshorisont,SUM(Materialedata[[#This Row],[C3/m²]:[C4/m²]]),IF(MOD(BB$2,Materialedata[[#This Row],[Levetid]])=0,SUM(Materialedata[[#This Row],[A1-A3/m²]:[C4/m²]]),0))
))</f>
        <v>9.0975000000000014E-3</v>
      </c>
      <c r="BC38" s="141">
        <f>IF(BC$2&gt;Input_Tidshorisont,BlankTegn,IF(BC$2=0,SUM(Materialedata[[#This Row],[A1-A3/m²]:[A4/m²]]),
BB38+IF(BC$2=Input_Tidshorisont,SUM(Materialedata[[#This Row],[C3/m²]:[C4/m²]]),IF(MOD(BC$2,Materialedata[[#This Row],[Levetid]])=0,SUM(Materialedata[[#This Row],[A1-A3/m²]:[C4/m²]]),0))
))</f>
        <v>9.0975000000000014E-3</v>
      </c>
      <c r="BD38" s="141">
        <f>IF(BD$2&gt;Input_Tidshorisont,BlankTegn,IF(BD$2=0,SUM(Materialedata[[#This Row],[A1-A3/m²]:[A4/m²]]),
BC38+IF(BD$2=Input_Tidshorisont,SUM(Materialedata[[#This Row],[C3/m²]:[C4/m²]]),IF(MOD(BD$2,Materialedata[[#This Row],[Levetid]])=0,SUM(Materialedata[[#This Row],[A1-A3/m²]:[C4/m²]]),0))
))</f>
        <v>9.0975000000000014E-3</v>
      </c>
      <c r="BE38" s="141">
        <f>IF(BE$2&gt;Input_Tidshorisont,BlankTegn,IF(BE$2=0,SUM(Materialedata[[#This Row],[A1-A3/m²]:[A4/m²]]),
BD38+IF(BE$2=Input_Tidshorisont,SUM(Materialedata[[#This Row],[C3/m²]:[C4/m²]]),IF(MOD(BE$2,Materialedata[[#This Row],[Levetid]])=0,SUM(Materialedata[[#This Row],[A1-A3/m²]:[C4/m²]]),0))
))</f>
        <v>9.0975000000000014E-3</v>
      </c>
      <c r="BF38" s="141">
        <f>IF(BF$2&gt;Input_Tidshorisont,BlankTegn,IF(BF$2=0,SUM(Materialedata[[#This Row],[A1-A3/m²]:[A4/m²]]),
BE38+IF(BF$2=Input_Tidshorisont,SUM(Materialedata[[#This Row],[C3/m²]:[C4/m²]]),IF(MOD(BF$2,Materialedata[[#This Row],[Levetid]])=0,SUM(Materialedata[[#This Row],[A1-A3/m²]:[C4/m²]]),0))
))</f>
        <v>9.0975000000000014E-3</v>
      </c>
      <c r="BG38" s="141">
        <f>IF(BG$2&gt;Input_Tidshorisont,BlankTegn,IF(BG$2=0,SUM(Materialedata[[#This Row],[A1-A3/m²]:[A4/m²]]),
BF38+IF(BG$2=Input_Tidshorisont,SUM(Materialedata[[#This Row],[C3/m²]:[C4/m²]]),IF(MOD(BG$2,Materialedata[[#This Row],[Levetid]])=0,SUM(Materialedata[[#This Row],[A1-A3/m²]:[C4/m²]]),0))
))</f>
        <v>9.0975000000000014E-3</v>
      </c>
      <c r="BH38" s="141">
        <f>IF(BH$2&gt;Input_Tidshorisont,BlankTegn,IF(BH$2=0,SUM(Materialedata[[#This Row],[A1-A3/m²]:[A4/m²]]),
BG38+IF(BH$2=Input_Tidshorisont,SUM(Materialedata[[#This Row],[C3/m²]:[C4/m²]]),IF(MOD(BH$2,Materialedata[[#This Row],[Levetid]])=0,SUM(Materialedata[[#This Row],[A1-A3/m²]:[C4/m²]]),0))
))</f>
        <v>9.0975000000000014E-3</v>
      </c>
      <c r="BI38" s="141">
        <f>IF(BI$2&gt;Input_Tidshorisont,BlankTegn,IF(BI$2=0,SUM(Materialedata[[#This Row],[A1-A3/m²]:[A4/m²]]),
BH38+IF(BI$2=Input_Tidshorisont,SUM(Materialedata[[#This Row],[C3/m²]:[C4/m²]]),IF(MOD(BI$2,Materialedata[[#This Row],[Levetid]])=0,SUM(Materialedata[[#This Row],[A1-A3/m²]:[C4/m²]]),0))
))</f>
        <v>9.0975000000000014E-3</v>
      </c>
      <c r="BJ38" s="141">
        <f>IF(BJ$2&gt;Input_Tidshorisont,BlankTegn,IF(BJ$2=0,SUM(Materialedata[[#This Row],[A1-A3/m²]:[A4/m²]]),
BI38+IF(BJ$2=Input_Tidshorisont,SUM(Materialedata[[#This Row],[C3/m²]:[C4/m²]]),IF(MOD(BJ$2,Materialedata[[#This Row],[Levetid]])=0,SUM(Materialedata[[#This Row],[A1-A3/m²]:[C4/m²]]),0))
))</f>
        <v>9.0975000000000014E-3</v>
      </c>
      <c r="BK38" s="141">
        <f>IF(BK$2&gt;Input_Tidshorisont,BlankTegn,IF(BK$2=0,SUM(Materialedata[[#This Row],[A1-A3/m²]:[A4/m²]]),
BJ38+IF(BK$2=Input_Tidshorisont,SUM(Materialedata[[#This Row],[C3/m²]:[C4/m²]]),IF(MOD(BK$2,Materialedata[[#This Row],[Levetid]])=0,SUM(Materialedata[[#This Row],[A1-A3/m²]:[C4/m²]]),0))
))</f>
        <v>9.0975000000000014E-3</v>
      </c>
      <c r="BL38" s="141">
        <f>IF(BL$2&gt;Input_Tidshorisont,BlankTegn,IF(BL$2=0,SUM(Materialedata[[#This Row],[A1-A3/m²]:[A4/m²]]),
BK38+IF(BL$2=Input_Tidshorisont,SUM(Materialedata[[#This Row],[C3/m²]:[C4/m²]]),IF(MOD(BL$2,Materialedata[[#This Row],[Levetid]])=0,SUM(Materialedata[[#This Row],[A1-A3/m²]:[C4/m²]]),0))
))</f>
        <v>9.0975000000000014E-3</v>
      </c>
      <c r="BM38" s="141">
        <f>IF(BM$2&gt;Input_Tidshorisont,BlankTegn,IF(BM$2=0,SUM(Materialedata[[#This Row],[A1-A3/m²]:[A4/m²]]),
BL38+IF(BM$2=Input_Tidshorisont,SUM(Materialedata[[#This Row],[C3/m²]:[C4/m²]]),IF(MOD(BM$2,Materialedata[[#This Row],[Levetid]])=0,SUM(Materialedata[[#This Row],[A1-A3/m²]:[C4/m²]]),0))
))</f>
        <v>9.0975000000000014E-3</v>
      </c>
      <c r="BN38" s="141">
        <f>IF(BN$2&gt;Input_Tidshorisont,BlankTegn,IF(BN$2=0,SUM(Materialedata[[#This Row],[A1-A3/m²]:[A4/m²]]),
BM38+IF(BN$2=Input_Tidshorisont,SUM(Materialedata[[#This Row],[C3/m²]:[C4/m²]]),IF(MOD(BN$2,Materialedata[[#This Row],[Levetid]])=0,SUM(Materialedata[[#This Row],[A1-A3/m²]:[C4/m²]]),0))
))</f>
        <v>9.0975000000000014E-3</v>
      </c>
      <c r="BO38" s="141">
        <f>IF(BO$2&gt;Input_Tidshorisont,BlankTegn,IF(BO$2=0,SUM(Materialedata[[#This Row],[A1-A3/m²]:[A4/m²]]),
BN38+IF(BO$2=Input_Tidshorisont,SUM(Materialedata[[#This Row],[C3/m²]:[C4/m²]]),IF(MOD(BO$2,Materialedata[[#This Row],[Levetid]])=0,SUM(Materialedata[[#This Row],[A1-A3/m²]:[C4/m²]]),0))
))</f>
        <v>9.0975000000000014E-3</v>
      </c>
      <c r="BP38" s="141">
        <f>IF(BP$2&gt;Input_Tidshorisont,BlankTegn,IF(BP$2=0,SUM(Materialedata[[#This Row],[A1-A3/m²]:[A4/m²]]),
BO38+IF(BP$2=Input_Tidshorisont,SUM(Materialedata[[#This Row],[C3/m²]:[C4/m²]]),IF(MOD(BP$2,Materialedata[[#This Row],[Levetid]])=0,SUM(Materialedata[[#This Row],[A1-A3/m²]:[C4/m²]]),0))
))</f>
        <v>9.0975000000000014E-3</v>
      </c>
      <c r="BQ38" s="141">
        <f>IF(BQ$2&gt;Input_Tidshorisont,BlankTegn,IF(BQ$2=0,SUM(Materialedata[[#This Row],[A1-A3/m²]:[A4/m²]]),
BP38+IF(BQ$2=Input_Tidshorisont,SUM(Materialedata[[#This Row],[C3/m²]:[C4/m²]]),IF(MOD(BQ$2,Materialedata[[#This Row],[Levetid]])=0,SUM(Materialedata[[#This Row],[A1-A3/m²]:[C4/m²]]),0))
))</f>
        <v>9.0975000000000014E-3</v>
      </c>
      <c r="BR38" s="141">
        <f>IF(BR$2&gt;Input_Tidshorisont,BlankTegn,IF(BR$2=0,SUM(Materialedata[[#This Row],[A1-A3/m²]:[A4/m²]]),
BQ38+IF(BR$2=Input_Tidshorisont,SUM(Materialedata[[#This Row],[C3/m²]:[C4/m²]]),IF(MOD(BR$2,Materialedata[[#This Row],[Levetid]])=0,SUM(Materialedata[[#This Row],[A1-A3/m²]:[C4/m²]]),0))
))</f>
        <v>9.0975000000000014E-3</v>
      </c>
      <c r="BS38" s="141">
        <f>IF(BS$2&gt;Input_Tidshorisont,BlankTegn,IF(BS$2=0,SUM(Materialedata[[#This Row],[A1-A3/m²]:[A4/m²]]),
BR38+IF(BS$2=Input_Tidshorisont,SUM(Materialedata[[#This Row],[C3/m²]:[C4/m²]]),IF(MOD(BS$2,Materialedata[[#This Row],[Levetid]])=0,SUM(Materialedata[[#This Row],[A1-A3/m²]:[C4/m²]]),0))
))</f>
        <v>9.0975000000000014E-3</v>
      </c>
      <c r="BT38" s="141">
        <f>IF(BT$2&gt;Input_Tidshorisont,BlankTegn,IF(BT$2=0,SUM(Materialedata[[#This Row],[A1-A3/m²]:[A4/m²]]),
BS38+IF(BT$2=Input_Tidshorisont,SUM(Materialedata[[#This Row],[C3/m²]:[C4/m²]]),IF(MOD(BT$2,Materialedata[[#This Row],[Levetid]])=0,SUM(Materialedata[[#This Row],[A1-A3/m²]:[C4/m²]]),0))
))</f>
        <v>9.0975000000000014E-3</v>
      </c>
      <c r="BU38" s="141">
        <f>IF(BU$2&gt;Input_Tidshorisont,BlankTegn,IF(BU$2=0,SUM(Materialedata[[#This Row],[A1-A3/m²]:[A4/m²]]),
BT38+IF(BU$2=Input_Tidshorisont,SUM(Materialedata[[#This Row],[C3/m²]:[C4/m²]]),IF(MOD(BU$2,Materialedata[[#This Row],[Levetid]])=0,SUM(Materialedata[[#This Row],[A1-A3/m²]:[C4/m²]]),0))
))</f>
        <v>9.0975000000000014E-3</v>
      </c>
      <c r="BV38" s="141">
        <f>IF(BV$2&gt;Input_Tidshorisont,BlankTegn,IF(BV$2=0,SUM(Materialedata[[#This Row],[A1-A3/m²]:[A4/m²]]),
BU38+IF(BV$2=Input_Tidshorisont,SUM(Materialedata[[#This Row],[C3/m²]:[C4/m²]]),IF(MOD(BV$2,Materialedata[[#This Row],[Levetid]])=0,SUM(Materialedata[[#This Row],[A1-A3/m²]:[C4/m²]]),0))
))</f>
        <v>9.0975000000000014E-3</v>
      </c>
      <c r="BW38" s="141">
        <f>IF(BW$2&gt;Input_Tidshorisont,BlankTegn,IF(BW$2=0,SUM(Materialedata[[#This Row],[A1-A3/m²]:[A4/m²]]),
BV38+IF(BW$2=Input_Tidshorisont,SUM(Materialedata[[#This Row],[C3/m²]:[C4/m²]]),IF(MOD(BW$2,Materialedata[[#This Row],[Levetid]])=0,SUM(Materialedata[[#This Row],[A1-A3/m²]:[C4/m²]]),0))
))</f>
        <v>9.0975000000000014E-3</v>
      </c>
      <c r="BX38" s="141">
        <f>IF(BX$2&gt;Input_Tidshorisont,BlankTegn,IF(BX$2=0,SUM(Materialedata[[#This Row],[A1-A3/m²]:[A4/m²]]),
BW38+IF(BX$2=Input_Tidshorisont,SUM(Materialedata[[#This Row],[C3/m²]:[C4/m²]]),IF(MOD(BX$2,Materialedata[[#This Row],[Levetid]])=0,SUM(Materialedata[[#This Row],[A1-A3/m²]:[C4/m²]]),0))
))</f>
        <v>9.0975000000000014E-3</v>
      </c>
      <c r="BY38" s="141">
        <f>IF(BY$2&gt;Input_Tidshorisont,BlankTegn,IF(BY$2=0,SUM(Materialedata[[#This Row],[A1-A3/m²]:[A4/m²]]),
BX38+IF(BY$2=Input_Tidshorisont,SUM(Materialedata[[#This Row],[C3/m²]:[C4/m²]]),IF(MOD(BY$2,Materialedata[[#This Row],[Levetid]])=0,SUM(Materialedata[[#This Row],[A1-A3/m²]:[C4/m²]]),0))
))</f>
        <v>9.0975000000000014E-3</v>
      </c>
      <c r="BZ38" s="141">
        <f>IF(BZ$2&gt;Input_Tidshorisont,BlankTegn,IF(BZ$2=0,SUM(Materialedata[[#This Row],[A1-A3/m²]:[A4/m²]]),
BY38+IF(BZ$2=Input_Tidshorisont,SUM(Materialedata[[#This Row],[C3/m²]:[C4/m²]]),IF(MOD(BZ$2,Materialedata[[#This Row],[Levetid]])=0,SUM(Materialedata[[#This Row],[A1-A3/m²]:[C4/m²]]),0))
))</f>
        <v>9.0975000000000014E-3</v>
      </c>
      <c r="CA38" s="141">
        <f>IF(CA$2&gt;Input_Tidshorisont,BlankTegn,IF(CA$2=0,SUM(Materialedata[[#This Row],[A1-A3/m²]:[A4/m²]]),
BZ38+IF(CA$2=Input_Tidshorisont,SUM(Materialedata[[#This Row],[C3/m²]:[C4/m²]]),IF(MOD(CA$2,Materialedata[[#This Row],[Levetid]])=0,SUM(Materialedata[[#This Row],[A1-A3/m²]:[C4/m²]]),0))
))</f>
        <v>9.0975000000000014E-3</v>
      </c>
      <c r="CB38" s="141">
        <f>IF(CB$2&gt;Input_Tidshorisont,BlankTegn,IF(CB$2=0,SUM(Materialedata[[#This Row],[A1-A3/m²]:[A4/m²]]),
CA38+IF(CB$2=Input_Tidshorisont,SUM(Materialedata[[#This Row],[C3/m²]:[C4/m²]]),IF(MOD(CB$2,Materialedata[[#This Row],[Levetid]])=0,SUM(Materialedata[[#This Row],[A1-A3/m²]:[C4/m²]]),0))
))</f>
        <v>9.0975000000000014E-3</v>
      </c>
      <c r="CC38" s="141">
        <f>IF(CC$2&gt;Input_Tidshorisont,BlankTegn,IF(CC$2=0,SUM(Materialedata[[#This Row],[A1-A3/m²]:[A4/m²]]),
CB38+IF(CC$2=Input_Tidshorisont,SUM(Materialedata[[#This Row],[C3/m²]:[C4/m²]]),IF(MOD(CC$2,Materialedata[[#This Row],[Levetid]])=0,SUM(Materialedata[[#This Row],[A1-A3/m²]:[C4/m²]]),0))
))</f>
        <v>9.0975000000000014E-3</v>
      </c>
      <c r="CD38" s="141">
        <f>IF(CD$2&gt;Input_Tidshorisont,BlankTegn,IF(CD$2=0,SUM(Materialedata[[#This Row],[A1-A3/m²]:[A4/m²]]),
CC38+IF(CD$2=Input_Tidshorisont,SUM(Materialedata[[#This Row],[C3/m²]:[C4/m²]]),IF(MOD(CD$2,Materialedata[[#This Row],[Levetid]])=0,SUM(Materialedata[[#This Row],[A1-A3/m²]:[C4/m²]]),0))
))</f>
        <v>9.0975000000000014E-3</v>
      </c>
      <c r="CE38" s="141">
        <f>IF(CE$2&gt;Input_Tidshorisont,BlankTegn,IF(CE$2=0,SUM(Materialedata[[#This Row],[A1-A3/m²]:[A4/m²]]),
CD38+IF(CE$2=Input_Tidshorisont,SUM(Materialedata[[#This Row],[C3/m²]:[C4/m²]]),IF(MOD(CE$2,Materialedata[[#This Row],[Levetid]])=0,SUM(Materialedata[[#This Row],[A1-A3/m²]:[C4/m²]]),0))
))</f>
        <v>9.0975000000000014E-3</v>
      </c>
      <c r="CF38" s="141">
        <f>IF(CF$2&gt;Input_Tidshorisont,BlankTegn,IF(CF$2=0,SUM(Materialedata[[#This Row],[A1-A3/m²]:[A4/m²]]),
CE38+IF(CF$2=Input_Tidshorisont,SUM(Materialedata[[#This Row],[C3/m²]:[C4/m²]]),IF(MOD(CF$2,Materialedata[[#This Row],[Levetid]])=0,SUM(Materialedata[[#This Row],[A1-A3/m²]:[C4/m²]]),0))
))</f>
        <v>9.0975000000000014E-3</v>
      </c>
      <c r="CG38" s="141">
        <f>IF(CG$2&gt;Input_Tidshorisont,BlankTegn,IF(CG$2=0,SUM(Materialedata[[#This Row],[A1-A3/m²]:[A4/m²]]),
CF38+IF(CG$2=Input_Tidshorisont,SUM(Materialedata[[#This Row],[C3/m²]:[C4/m²]]),IF(MOD(CG$2,Materialedata[[#This Row],[Levetid]])=0,SUM(Materialedata[[#This Row],[A1-A3/m²]:[C4/m²]]),0))
))</f>
        <v>9.0975000000000014E-3</v>
      </c>
      <c r="CH38" s="141">
        <f>IF(CH$2&gt;Input_Tidshorisont,BlankTegn,IF(CH$2=0,SUM(Materialedata[[#This Row],[A1-A3/m²]:[A4/m²]]),
CG38+IF(CH$2=Input_Tidshorisont,SUM(Materialedata[[#This Row],[C3/m²]:[C4/m²]]),IF(MOD(CH$2,Materialedata[[#This Row],[Levetid]])=0,SUM(Materialedata[[#This Row],[A1-A3/m²]:[C4/m²]]),0))
))</f>
        <v>1.8665974999999999</v>
      </c>
      <c r="CI38" s="141" t="str">
        <f>IF(CI$2&gt;Input_Tidshorisont,BlankTegn,IF(CI$2=0,SUM(Materialedata[[#This Row],[A1-A3/m²]:[A4/m²]]),
CH38+IF(CI$2=Input_Tidshorisont,SUM(Materialedata[[#This Row],[C3/m²]:[C4/m²]]),IF(MOD(CI$2,Materialedata[[#This Row],[Levetid]])=0,SUM(Materialedata[[#This Row],[A1-A3/m²]:[C4/m²]]),0))
))</f>
        <v>.</v>
      </c>
      <c r="CJ38" s="141" t="str">
        <f>IF(CJ$2&gt;Input_Tidshorisont,BlankTegn,IF(CJ$2=0,SUM(Materialedata[[#This Row],[A1-A3/m²]:[A4/m²]]),
CI38+IF(CJ$2=Input_Tidshorisont,SUM(Materialedata[[#This Row],[C3/m²]:[C4/m²]]),IF(MOD(CJ$2,Materialedata[[#This Row],[Levetid]])=0,SUM(Materialedata[[#This Row],[A1-A3/m²]:[C4/m²]]),0))
))</f>
        <v>.</v>
      </c>
      <c r="CK38" s="141" t="str">
        <f>IF(CK$2&gt;Input_Tidshorisont,BlankTegn,IF(CK$2=0,SUM(Materialedata[[#This Row],[A1-A3/m²]:[A4/m²]]),
CJ38+IF(CK$2=Input_Tidshorisont,SUM(Materialedata[[#This Row],[C3/m²]:[C4/m²]]),IF(MOD(CK$2,Materialedata[[#This Row],[Levetid]])=0,SUM(Materialedata[[#This Row],[A1-A3/m²]:[C4/m²]]),0))
))</f>
        <v>.</v>
      </c>
      <c r="CL38" s="141" t="str">
        <f>IF(CL$2&gt;Input_Tidshorisont,BlankTegn,IF(CL$2=0,SUM(Materialedata[[#This Row],[A1-A3/m²]:[A4/m²]]),
CK38+IF(CL$2=Input_Tidshorisont,SUM(Materialedata[[#This Row],[C3/m²]:[C4/m²]]),IF(MOD(CL$2,Materialedata[[#This Row],[Levetid]])=0,SUM(Materialedata[[#This Row],[A1-A3/m²]:[C4/m²]]),0))
))</f>
        <v>.</v>
      </c>
      <c r="CM38" s="141" t="str">
        <f>IF(CM$2&gt;Input_Tidshorisont,BlankTegn,IF(CM$2=0,SUM(Materialedata[[#This Row],[A1-A3/m²]:[A4/m²]]),
CL38+IF(CM$2=Input_Tidshorisont,SUM(Materialedata[[#This Row],[C3/m²]:[C4/m²]]),IF(MOD(CM$2,Materialedata[[#This Row],[Levetid]])=0,SUM(Materialedata[[#This Row],[A1-A3/m²]:[C4/m²]]),0))
))</f>
        <v>.</v>
      </c>
      <c r="CN38" s="141" t="str">
        <f>IF(CN$2&gt;Input_Tidshorisont,BlankTegn,IF(CN$2=0,SUM(Materialedata[[#This Row],[A1-A3/m²]:[A4/m²]]),
CM38+IF(CN$2=Input_Tidshorisont,SUM(Materialedata[[#This Row],[C3/m²]:[C4/m²]]),IF(MOD(CN$2,Materialedata[[#This Row],[Levetid]])=0,SUM(Materialedata[[#This Row],[A1-A3/m²]:[C4/m²]]),0))
))</f>
        <v>.</v>
      </c>
      <c r="CO38" s="141" t="str">
        <f>IF(CO$2&gt;Input_Tidshorisont,BlankTegn,IF(CO$2=0,SUM(Materialedata[[#This Row],[A1-A3/m²]:[A4/m²]]),
CN38+IF(CO$2=Input_Tidshorisont,SUM(Materialedata[[#This Row],[C3/m²]:[C4/m²]]),IF(MOD(CO$2,Materialedata[[#This Row],[Levetid]])=0,SUM(Materialedata[[#This Row],[A1-A3/m²]:[C4/m²]]),0))
))</f>
        <v>.</v>
      </c>
      <c r="CP38" s="141" t="str">
        <f>IF(CP$2&gt;Input_Tidshorisont,BlankTegn,IF(CP$2=0,SUM(Materialedata[[#This Row],[A1-A3/m²]:[A4/m²]]),
CO38+IF(CP$2=Input_Tidshorisont,SUM(Materialedata[[#This Row],[C3/m²]:[C4/m²]]),IF(MOD(CP$2,Materialedata[[#This Row],[Levetid]])=0,SUM(Materialedata[[#This Row],[A1-A3/m²]:[C4/m²]]),0))
))</f>
        <v>.</v>
      </c>
      <c r="CQ38" s="141" t="str">
        <f>IF(CQ$2&gt;Input_Tidshorisont,BlankTegn,IF(CQ$2=0,SUM(Materialedata[[#This Row],[A1-A3/m²]:[A4/m²]]),
CP38+IF(CQ$2=Input_Tidshorisont,SUM(Materialedata[[#This Row],[C3/m²]:[C4/m²]]),IF(MOD(CQ$2,Materialedata[[#This Row],[Levetid]])=0,SUM(Materialedata[[#This Row],[A1-A3/m²]:[C4/m²]]),0))
))</f>
        <v>.</v>
      </c>
      <c r="CR38" s="141" t="str">
        <f>IF(CR$2&gt;Input_Tidshorisont,BlankTegn,IF(CR$2=0,SUM(Materialedata[[#This Row],[A1-A3/m²]:[A4/m²]]),
CQ38+IF(CR$2=Input_Tidshorisont,SUM(Materialedata[[#This Row],[C3/m²]:[C4/m²]]),IF(MOD(CR$2,Materialedata[[#This Row],[Levetid]])=0,SUM(Materialedata[[#This Row],[A1-A3/m²]:[C4/m²]]),0))
))</f>
        <v>.</v>
      </c>
      <c r="CS38" s="141" t="str">
        <f>IF(CS$2&gt;Input_Tidshorisont,BlankTegn,IF(CS$2=0,SUM(Materialedata[[#This Row],[A1-A3/m²]:[A4/m²]]),
CR38+IF(CS$2=Input_Tidshorisont,SUM(Materialedata[[#This Row],[C3/m²]:[C4/m²]]),IF(MOD(CS$2,Materialedata[[#This Row],[Levetid]])=0,SUM(Materialedata[[#This Row],[A1-A3/m²]:[C4/m²]]),0))
))</f>
        <v>.</v>
      </c>
      <c r="CT38" s="141" t="str">
        <f>IF(CT$2&gt;Input_Tidshorisont,BlankTegn,IF(CT$2=0,SUM(Materialedata[[#This Row],[A1-A3/m²]:[A4/m²]]),
CS38+IF(CT$2=Input_Tidshorisont,SUM(Materialedata[[#This Row],[C3/m²]:[C4/m²]]),IF(MOD(CT$2,Materialedata[[#This Row],[Levetid]])=0,SUM(Materialedata[[#This Row],[A1-A3/m²]:[C4/m²]]),0))
))</f>
        <v>.</v>
      </c>
      <c r="CU38" s="141" t="str">
        <f>IF(CU$2&gt;Input_Tidshorisont,BlankTegn,IF(CU$2=0,SUM(Materialedata[[#This Row],[A1-A3/m²]:[A4/m²]]),
CT38+IF(CU$2=Input_Tidshorisont,SUM(Materialedata[[#This Row],[C3/m²]:[C4/m²]]),IF(MOD(CU$2,Materialedata[[#This Row],[Levetid]])=0,SUM(Materialedata[[#This Row],[A1-A3/m²]:[C4/m²]]),0))
))</f>
        <v>.</v>
      </c>
      <c r="CV38" s="141" t="str">
        <f>IF(CV$2&gt;Input_Tidshorisont,BlankTegn,IF(CV$2=0,SUM(Materialedata[[#This Row],[A1-A3/m²]:[A4/m²]]),
CU38+IF(CV$2=Input_Tidshorisont,SUM(Materialedata[[#This Row],[C3/m²]:[C4/m²]]),IF(MOD(CV$2,Materialedata[[#This Row],[Levetid]])=0,SUM(Materialedata[[#This Row],[A1-A3/m²]:[C4/m²]]),0))
))</f>
        <v>.</v>
      </c>
      <c r="CW38" s="141" t="str">
        <f>IF(CW$2&gt;Input_Tidshorisont,BlankTegn,IF(CW$2=0,SUM(Materialedata[[#This Row],[A1-A3/m²]:[A4/m²]]),
CV38+IF(CW$2=Input_Tidshorisont,SUM(Materialedata[[#This Row],[C3/m²]:[C4/m²]]),IF(MOD(CW$2,Materialedata[[#This Row],[Levetid]])=0,SUM(Materialedata[[#This Row],[A1-A3/m²]:[C4/m²]]),0))
))</f>
        <v>.</v>
      </c>
      <c r="CX38" s="141" t="str">
        <f>IF(CX$2&gt;Input_Tidshorisont,BlankTegn,IF(CX$2=0,SUM(Materialedata[[#This Row],[A1-A3/m²]:[A4/m²]]),
CW38+IF(CX$2=Input_Tidshorisont,SUM(Materialedata[[#This Row],[C3/m²]:[C4/m²]]),IF(MOD(CX$2,Materialedata[[#This Row],[Levetid]])=0,SUM(Materialedata[[#This Row],[A1-A3/m²]:[C4/m²]]),0))
))</f>
        <v>.</v>
      </c>
      <c r="CY38" s="141" t="str">
        <f>IF(CY$2&gt;Input_Tidshorisont,BlankTegn,IF(CY$2=0,SUM(Materialedata[[#This Row],[A1-A3/m²]:[A4/m²]]),
CX38+IF(CY$2=Input_Tidshorisont,SUM(Materialedata[[#This Row],[C3/m²]:[C4/m²]]),IF(MOD(CY$2,Materialedata[[#This Row],[Levetid]])=0,SUM(Materialedata[[#This Row],[A1-A3/m²]:[C4/m²]]),0))
))</f>
        <v>.</v>
      </c>
      <c r="CZ38" s="141" t="str">
        <f>IF(CZ$2&gt;Input_Tidshorisont,BlankTegn,IF(CZ$2=0,SUM(Materialedata[[#This Row],[A1-A3/m²]:[A4/m²]]),
CY38+IF(CZ$2=Input_Tidshorisont,SUM(Materialedata[[#This Row],[C3/m²]:[C4/m²]]),IF(MOD(CZ$2,Materialedata[[#This Row],[Levetid]])=0,SUM(Materialedata[[#This Row],[A1-A3/m²]:[C4/m²]]),0))
))</f>
        <v>.</v>
      </c>
      <c r="DA38" s="141" t="str">
        <f>IF(DA$2&gt;Input_Tidshorisont,BlankTegn,IF(DA$2=0,SUM(Materialedata[[#This Row],[A1-A3/m²]:[A4/m²]]),
CZ38+IF(DA$2=Input_Tidshorisont,SUM(Materialedata[[#This Row],[C3/m²]:[C4/m²]]),IF(MOD(DA$2,Materialedata[[#This Row],[Levetid]])=0,SUM(Materialedata[[#This Row],[A1-A3/m²]:[C4/m²]]),0))
))</f>
        <v>.</v>
      </c>
      <c r="DB38" s="141" t="str">
        <f>IF(DB$2&gt;Input_Tidshorisont,BlankTegn,IF(DB$2=0,SUM(Materialedata[[#This Row],[A1-A3/m²]:[A4/m²]]),
DA38+IF(DB$2=Input_Tidshorisont,SUM(Materialedata[[#This Row],[C3/m²]:[C4/m²]]),IF(MOD(DB$2,Materialedata[[#This Row],[Levetid]])=0,SUM(Materialedata[[#This Row],[A1-A3/m²]:[C4/m²]]),0))
))</f>
        <v>.</v>
      </c>
      <c r="DC38" s="141" t="str">
        <f>IF(DC$2&gt;Input_Tidshorisont,BlankTegn,IF(DC$2=0,SUM(Materialedata[[#This Row],[A1-A3/m²]:[A4/m²]]),
DB38+IF(DC$2=Input_Tidshorisont,SUM(Materialedata[[#This Row],[C3/m²]:[C4/m²]]),IF(MOD(DC$2,Materialedata[[#This Row],[Levetid]])=0,SUM(Materialedata[[#This Row],[A1-A3/m²]:[C4/m²]]),0))
))</f>
        <v>.</v>
      </c>
      <c r="DD38" s="141" t="str">
        <f>IF(DD$2&gt;Input_Tidshorisont,BlankTegn,IF(DD$2=0,SUM(Materialedata[[#This Row],[A1-A3/m²]:[A4/m²]]),
DC38+IF(DD$2=Input_Tidshorisont,SUM(Materialedata[[#This Row],[C3/m²]:[C4/m²]]),IF(MOD(DD$2,Materialedata[[#This Row],[Levetid]])=0,SUM(Materialedata[[#This Row],[A1-A3/m²]:[C4/m²]]),0))
))</f>
        <v>.</v>
      </c>
      <c r="DE38" s="141" t="str">
        <f>IF(DE$2&gt;Input_Tidshorisont,BlankTegn,IF(DE$2=0,SUM(Materialedata[[#This Row],[A1-A3/m²]:[A4/m²]]),
DD38+IF(DE$2=Input_Tidshorisont,SUM(Materialedata[[#This Row],[C3/m²]:[C4/m²]]),IF(MOD(DE$2,Materialedata[[#This Row],[Levetid]])=0,SUM(Materialedata[[#This Row],[A1-A3/m²]:[C4/m²]]),0))
))</f>
        <v>.</v>
      </c>
      <c r="DF38" s="141" t="str">
        <f>IF(DF$2&gt;Input_Tidshorisont,BlankTegn,IF(DF$2=0,SUM(Materialedata[[#This Row],[A1-A3/m²]:[A4/m²]]),
DE38+IF(DF$2=Input_Tidshorisont,SUM(Materialedata[[#This Row],[C3/m²]:[C4/m²]]),IF(MOD(DF$2,Materialedata[[#This Row],[Levetid]])=0,SUM(Materialedata[[#This Row],[A1-A3/m²]:[C4/m²]]),0))
))</f>
        <v>.</v>
      </c>
      <c r="DG38" s="141" t="str">
        <f>IF(DG$2&gt;Input_Tidshorisont,BlankTegn,IF(DG$2=0,SUM(Materialedata[[#This Row],[A1-A3/m²]:[A4/m²]]),
DF38+IF(DG$2=Input_Tidshorisont,SUM(Materialedata[[#This Row],[C3/m²]:[C4/m²]]),IF(MOD(DG$2,Materialedata[[#This Row],[Levetid]])=0,SUM(Materialedata[[#This Row],[A1-A3/m²]:[C4/m²]]),0))
))</f>
        <v>.</v>
      </c>
      <c r="DH38" s="141" t="str">
        <f>IF(DH$2&gt;Input_Tidshorisont,BlankTegn,IF(DH$2=0,SUM(Materialedata[[#This Row],[A1-A3/m²]:[A4/m²]]),
DG38+IF(DH$2=Input_Tidshorisont,SUM(Materialedata[[#This Row],[C3/m²]:[C4/m²]]),IF(MOD(DH$2,Materialedata[[#This Row],[Levetid]])=0,SUM(Materialedata[[#This Row],[A1-A3/m²]:[C4/m²]]),0))
))</f>
        <v>.</v>
      </c>
      <c r="DI38" s="141" t="str">
        <f>IF(DI$2&gt;Input_Tidshorisont,BlankTegn,IF(DI$2=0,SUM(Materialedata[[#This Row],[A1-A3/m²]:[A4/m²]]),
DH38+IF(DI$2=Input_Tidshorisont,SUM(Materialedata[[#This Row],[C3/m²]:[C4/m²]]),IF(MOD(DI$2,Materialedata[[#This Row],[Levetid]])=0,SUM(Materialedata[[#This Row],[A1-A3/m²]:[C4/m²]]),0))
))</f>
        <v>.</v>
      </c>
      <c r="DJ38" s="141" t="str">
        <f>IF(DJ$2&gt;Input_Tidshorisont,BlankTegn,IF(DJ$2=0,SUM(Materialedata[[#This Row],[A1-A3/m²]:[A4/m²]]),
DI38+IF(DJ$2=Input_Tidshorisont,SUM(Materialedata[[#This Row],[C3/m²]:[C4/m²]]),IF(MOD(DJ$2,Materialedata[[#This Row],[Levetid]])=0,SUM(Materialedata[[#This Row],[A1-A3/m²]:[C4/m²]]),0))
))</f>
        <v>.</v>
      </c>
      <c r="DK38" s="141" t="str">
        <f>IF(DK$2&gt;Input_Tidshorisont,BlankTegn,IF(DK$2=0,SUM(Materialedata[[#This Row],[A1-A3/m²]:[A4/m²]]),
DJ38+IF(DK$2=Input_Tidshorisont,SUM(Materialedata[[#This Row],[C3/m²]:[C4/m²]]),IF(MOD(DK$2,Materialedata[[#This Row],[Levetid]])=0,SUM(Materialedata[[#This Row],[A1-A3/m²]:[C4/m²]]),0))
))</f>
        <v>.</v>
      </c>
      <c r="DL38" s="141" t="str">
        <f>IF(DL$2&gt;Input_Tidshorisont,BlankTegn,IF(DL$2=0,SUM(Materialedata[[#This Row],[A1-A3/m²]:[A4/m²]]),
DK38+IF(DL$2=Input_Tidshorisont,SUM(Materialedata[[#This Row],[C3/m²]:[C4/m²]]),IF(MOD(DL$2,Materialedata[[#This Row],[Levetid]])=0,SUM(Materialedata[[#This Row],[A1-A3/m²]:[C4/m²]]),0))
))</f>
        <v>.</v>
      </c>
      <c r="DM38" s="19"/>
    </row>
    <row r="39" spans="1:117" ht="48">
      <c r="A39" s="182" t="s">
        <v>40</v>
      </c>
      <c r="B39" s="182" t="s">
        <v>135</v>
      </c>
      <c r="C39" s="148" t="s">
        <v>131</v>
      </c>
      <c r="D39" s="149" t="s">
        <v>280</v>
      </c>
      <c r="E39" s="180" t="s">
        <v>545</v>
      </c>
      <c r="F39" s="182" t="s">
        <v>134</v>
      </c>
      <c r="G39" s="182">
        <v>120</v>
      </c>
      <c r="H39" s="183">
        <v>7850</v>
      </c>
      <c r="I39" s="193">
        <f>1*(1/0.333)</f>
        <v>3.0030030030030028</v>
      </c>
      <c r="J39" s="184" t="s">
        <v>101</v>
      </c>
      <c r="K39" s="182">
        <f>2190/1000</f>
        <v>2.19</v>
      </c>
      <c r="L39" s="182" t="s">
        <v>209</v>
      </c>
      <c r="M39" s="185">
        <f>IF(ISBLANK(Materialedata[[#This Row],[A4-gruppe]]),BlankTegn,INDEX(Byggeproces[GWP],MATCH(Materialedata[[#This Row],[A4-gruppe]],Byggeproces[Gruppe/Undergruppe],0)))</f>
        <v>1.24E-2</v>
      </c>
      <c r="N39" s="182">
        <f>46.5/1000</f>
        <v>4.65E-2</v>
      </c>
      <c r="O39" s="182">
        <f>45.9/1000</f>
        <v>4.5899999999999996E-2</v>
      </c>
      <c r="P39" s="182">
        <f>-1.05/1000</f>
        <v>-1.0500000000000002E-3</v>
      </c>
      <c r="Q39" s="277">
        <f>Materialedata[[#This Row],[A1-A3/standardenhed]]*Materialedata[[#This Row],[Mængde/m²]]</f>
        <v>6.576576576576576</v>
      </c>
      <c r="R39" s="278" cm="1">
        <f t="array" ref="R39">IFERROR(_xlfn.IFS(Materialedata[[#This Row],[Mængde-enhed]]="kg/m²",Materialedata[[#This Row],[A4/kg]]*Materialedata[[#This Row],[Mængde/m²]],Materialedata[[#This Row],[Mængde-enhed]]="m³/m²",Materialedata[[#This Row],[A4/kg]]*Materialedata[[#This Row],[Mængde/m²]]*Materialedata[[#This Row],[Densitet]]),"N/A")</f>
        <v>3.7237237237237236E-2</v>
      </c>
      <c r="S39" s="277">
        <f>Materialedata[[#This Row],[C3/enhed]]*Materialedata[[#This Row],[Mængde/m²]]</f>
        <v>0.13963963963963963</v>
      </c>
      <c r="T39" s="277">
        <f>Materialedata[[#This Row],[C4/enhed]]*Materialedata[[#This Row],[Mængde/m²]]</f>
        <v>0.13783783783783782</v>
      </c>
      <c r="U39" s="277">
        <f>Materialedata[[#This Row],[D/enhed]]*Materialedata[[#This Row],[Mængde/m²]]</f>
        <v>-3.1531531531531535E-3</v>
      </c>
      <c r="V39" s="150">
        <f>IFERROR(INDEX(Range_Materiale_Genbrug,MATCH(Materialedata[[#This Row],[Komponent]],Facadekomponenter,0)),BlankTegn)</f>
        <v>0</v>
      </c>
      <c r="W39" s="150">
        <f>IFERROR(1-Materialedata[[#This Row],[Genbrug]],BlankTegn)</f>
        <v>1</v>
      </c>
      <c r="X39" s="186">
        <f>IFERROR(Materialedata[[#This Row],[A1-A3/m²_nyt]]*Materialedata[[#This Row],[Nyt]],BlankTegn)</f>
        <v>6.576576576576576</v>
      </c>
      <c r="Y39" s="186">
        <f>Materialedata[[#This Row],[A4/m²_nyt]]</f>
        <v>3.7237237237237236E-2</v>
      </c>
      <c r="Z39" s="186">
        <f>IFERROR(Materialedata[[#This Row],[C3/m²_nyt]]*Materialedata[[#This Row],[Nyt]],BlankTegn)</f>
        <v>0.13963963963963963</v>
      </c>
      <c r="AA39" s="186">
        <f>IFERROR(Materialedata[[#This Row],[C4/m²_nyt]]*Materialedata[[#This Row],[Nyt]],BlankTegn)</f>
        <v>0.13783783783783782</v>
      </c>
      <c r="AB39" s="186">
        <f>IFERROR(Materialedata[[#This Row],[D/m²_nyt]]*Materialedata[[#This Row],[Nyt]],BlankTegn)</f>
        <v>-3.1531531531531535E-3</v>
      </c>
      <c r="AC39" s="187">
        <v>39.532456949949207</v>
      </c>
      <c r="AD39" s="188" t="s">
        <v>134</v>
      </c>
      <c r="AE39" s="391">
        <f>1*Materialedata[[#This Row],[Mængde/m²]]</f>
        <v>3.0030030030030028</v>
      </c>
      <c r="AF39" s="189">
        <f>Materialedata[[#This Row],[Pris/enhed]]*Materialedata[[#This Row],[Omregning]]</f>
        <v>118.71608693678439</v>
      </c>
      <c r="AG39" s="190">
        <v>0.03</v>
      </c>
      <c r="AH39" s="191">
        <v>1</v>
      </c>
      <c r="AI39" s="162">
        <v>0</v>
      </c>
      <c r="AJ39" s="141">
        <f>IF(AJ$2&gt;Input_Tidshorisont,BlankTegn,IF(AJ$2=0,SUM(Materialedata[[#This Row],[A1-A3/m²]:[A4/m²]]),
AI39+IF(AJ$2=Input_Tidshorisont,SUM(Materialedata[[#This Row],[C3/m²]:[C4/m²]]),IF(MOD(AJ$2,Materialedata[[#This Row],[Levetid]])=0,SUM(Materialedata[[#This Row],[A1-A3/m²]:[C4/m²]]),0))
))</f>
        <v>6.6138138138138132</v>
      </c>
      <c r="AK39" s="141">
        <f>IF(AK$2&gt;Input_Tidshorisont,BlankTegn,IF(AK$2=0,SUM(Materialedata[[#This Row],[A1-A3/m²]:[A4/m²]]),
AJ39+IF(AK$2=Input_Tidshorisont,SUM(Materialedata[[#This Row],[C3/m²]:[C4/m²]]),IF(MOD(AK$2,Materialedata[[#This Row],[Levetid]])=0,SUM(Materialedata[[#This Row],[A1-A3/m²]:[C4/m²]]),0))
))</f>
        <v>6.6138138138138132</v>
      </c>
      <c r="AL39" s="141">
        <f>IF(AL$2&gt;Input_Tidshorisont,BlankTegn,IF(AL$2=0,SUM(Materialedata[[#This Row],[A1-A3/m²]:[A4/m²]]),
AK39+IF(AL$2=Input_Tidshorisont,SUM(Materialedata[[#This Row],[C3/m²]:[C4/m²]]),IF(MOD(AL$2,Materialedata[[#This Row],[Levetid]])=0,SUM(Materialedata[[#This Row],[A1-A3/m²]:[C4/m²]]),0))
))</f>
        <v>6.6138138138138132</v>
      </c>
      <c r="AM39" s="141">
        <f>IF(AM$2&gt;Input_Tidshorisont,BlankTegn,IF(AM$2=0,SUM(Materialedata[[#This Row],[A1-A3/m²]:[A4/m²]]),
AL39+IF(AM$2=Input_Tidshorisont,SUM(Materialedata[[#This Row],[C3/m²]:[C4/m²]]),IF(MOD(AM$2,Materialedata[[#This Row],[Levetid]])=0,SUM(Materialedata[[#This Row],[A1-A3/m²]:[C4/m²]]),0))
))</f>
        <v>6.6138138138138132</v>
      </c>
      <c r="AN39" s="141">
        <f>IF(AN$2&gt;Input_Tidshorisont,BlankTegn,IF(AN$2=0,SUM(Materialedata[[#This Row],[A1-A3/m²]:[A4/m²]]),
AM39+IF(AN$2=Input_Tidshorisont,SUM(Materialedata[[#This Row],[C3/m²]:[C4/m²]]),IF(MOD(AN$2,Materialedata[[#This Row],[Levetid]])=0,SUM(Materialedata[[#This Row],[A1-A3/m²]:[C4/m²]]),0))
))</f>
        <v>6.6138138138138132</v>
      </c>
      <c r="AO39" s="141">
        <f>IF(AO$2&gt;Input_Tidshorisont,BlankTegn,IF(AO$2=0,SUM(Materialedata[[#This Row],[A1-A3/m²]:[A4/m²]]),
AN39+IF(AO$2=Input_Tidshorisont,SUM(Materialedata[[#This Row],[C3/m²]:[C4/m²]]),IF(MOD(AO$2,Materialedata[[#This Row],[Levetid]])=0,SUM(Materialedata[[#This Row],[A1-A3/m²]:[C4/m²]]),0))
))</f>
        <v>6.6138138138138132</v>
      </c>
      <c r="AP39" s="141">
        <f>IF(AP$2&gt;Input_Tidshorisont,BlankTegn,IF(AP$2=0,SUM(Materialedata[[#This Row],[A1-A3/m²]:[A4/m²]]),
AO39+IF(AP$2=Input_Tidshorisont,SUM(Materialedata[[#This Row],[C3/m²]:[C4/m²]]),IF(MOD(AP$2,Materialedata[[#This Row],[Levetid]])=0,SUM(Materialedata[[#This Row],[A1-A3/m²]:[C4/m²]]),0))
))</f>
        <v>6.6138138138138132</v>
      </c>
      <c r="AQ39" s="141">
        <f>IF(AQ$2&gt;Input_Tidshorisont,BlankTegn,IF(AQ$2=0,SUM(Materialedata[[#This Row],[A1-A3/m²]:[A4/m²]]),
AP39+IF(AQ$2=Input_Tidshorisont,SUM(Materialedata[[#This Row],[C3/m²]:[C4/m²]]),IF(MOD(AQ$2,Materialedata[[#This Row],[Levetid]])=0,SUM(Materialedata[[#This Row],[A1-A3/m²]:[C4/m²]]),0))
))</f>
        <v>6.6138138138138132</v>
      </c>
      <c r="AR39" s="141">
        <f>IF(AR$2&gt;Input_Tidshorisont,BlankTegn,IF(AR$2=0,SUM(Materialedata[[#This Row],[A1-A3/m²]:[A4/m²]]),
AQ39+IF(AR$2=Input_Tidshorisont,SUM(Materialedata[[#This Row],[C3/m²]:[C4/m²]]),IF(MOD(AR$2,Materialedata[[#This Row],[Levetid]])=0,SUM(Materialedata[[#This Row],[A1-A3/m²]:[C4/m²]]),0))
))</f>
        <v>6.6138138138138132</v>
      </c>
      <c r="AS39" s="141">
        <f>IF(AS$2&gt;Input_Tidshorisont,BlankTegn,IF(AS$2=0,SUM(Materialedata[[#This Row],[A1-A3/m²]:[A4/m²]]),
AR39+IF(AS$2=Input_Tidshorisont,SUM(Materialedata[[#This Row],[C3/m²]:[C4/m²]]),IF(MOD(AS$2,Materialedata[[#This Row],[Levetid]])=0,SUM(Materialedata[[#This Row],[A1-A3/m²]:[C4/m²]]),0))
))</f>
        <v>6.6138138138138132</v>
      </c>
      <c r="AT39" s="141">
        <f>IF(AT$2&gt;Input_Tidshorisont,BlankTegn,IF(AT$2=0,SUM(Materialedata[[#This Row],[A1-A3/m²]:[A4/m²]]),
AS39+IF(AT$2=Input_Tidshorisont,SUM(Materialedata[[#This Row],[C3/m²]:[C4/m²]]),IF(MOD(AT$2,Materialedata[[#This Row],[Levetid]])=0,SUM(Materialedata[[#This Row],[A1-A3/m²]:[C4/m²]]),0))
))</f>
        <v>6.6138138138138132</v>
      </c>
      <c r="AU39" s="141">
        <f>IF(AU$2&gt;Input_Tidshorisont,BlankTegn,IF(AU$2=0,SUM(Materialedata[[#This Row],[A1-A3/m²]:[A4/m²]]),
AT39+IF(AU$2=Input_Tidshorisont,SUM(Materialedata[[#This Row],[C3/m²]:[C4/m²]]),IF(MOD(AU$2,Materialedata[[#This Row],[Levetid]])=0,SUM(Materialedata[[#This Row],[A1-A3/m²]:[C4/m²]]),0))
))</f>
        <v>6.6138138138138132</v>
      </c>
      <c r="AV39" s="141">
        <f>IF(AV$2&gt;Input_Tidshorisont,BlankTegn,IF(AV$2=0,SUM(Materialedata[[#This Row],[A1-A3/m²]:[A4/m²]]),
AU39+IF(AV$2=Input_Tidshorisont,SUM(Materialedata[[#This Row],[C3/m²]:[C4/m²]]),IF(MOD(AV$2,Materialedata[[#This Row],[Levetid]])=0,SUM(Materialedata[[#This Row],[A1-A3/m²]:[C4/m²]]),0))
))</f>
        <v>6.6138138138138132</v>
      </c>
      <c r="AW39" s="141">
        <f>IF(AW$2&gt;Input_Tidshorisont,BlankTegn,IF(AW$2=0,SUM(Materialedata[[#This Row],[A1-A3/m²]:[A4/m²]]),
AV39+IF(AW$2=Input_Tidshorisont,SUM(Materialedata[[#This Row],[C3/m²]:[C4/m²]]),IF(MOD(AW$2,Materialedata[[#This Row],[Levetid]])=0,SUM(Materialedata[[#This Row],[A1-A3/m²]:[C4/m²]]),0))
))</f>
        <v>6.6138138138138132</v>
      </c>
      <c r="AX39" s="141">
        <f>IF(AX$2&gt;Input_Tidshorisont,BlankTegn,IF(AX$2=0,SUM(Materialedata[[#This Row],[A1-A3/m²]:[A4/m²]]),
AW39+IF(AX$2=Input_Tidshorisont,SUM(Materialedata[[#This Row],[C3/m²]:[C4/m²]]),IF(MOD(AX$2,Materialedata[[#This Row],[Levetid]])=0,SUM(Materialedata[[#This Row],[A1-A3/m²]:[C4/m²]]),0))
))</f>
        <v>6.6138138138138132</v>
      </c>
      <c r="AY39" s="141">
        <f>IF(AY$2&gt;Input_Tidshorisont,BlankTegn,IF(AY$2=0,SUM(Materialedata[[#This Row],[A1-A3/m²]:[A4/m²]]),
AX39+IF(AY$2=Input_Tidshorisont,SUM(Materialedata[[#This Row],[C3/m²]:[C4/m²]]),IF(MOD(AY$2,Materialedata[[#This Row],[Levetid]])=0,SUM(Materialedata[[#This Row],[A1-A3/m²]:[C4/m²]]),0))
))</f>
        <v>6.6138138138138132</v>
      </c>
      <c r="AZ39" s="141">
        <f>IF(AZ$2&gt;Input_Tidshorisont,BlankTegn,IF(AZ$2=0,SUM(Materialedata[[#This Row],[A1-A3/m²]:[A4/m²]]),
AY39+IF(AZ$2=Input_Tidshorisont,SUM(Materialedata[[#This Row],[C3/m²]:[C4/m²]]),IF(MOD(AZ$2,Materialedata[[#This Row],[Levetid]])=0,SUM(Materialedata[[#This Row],[A1-A3/m²]:[C4/m²]]),0))
))</f>
        <v>6.6138138138138132</v>
      </c>
      <c r="BA39" s="141">
        <f>IF(BA$2&gt;Input_Tidshorisont,BlankTegn,IF(BA$2=0,SUM(Materialedata[[#This Row],[A1-A3/m²]:[A4/m²]]),
AZ39+IF(BA$2=Input_Tidshorisont,SUM(Materialedata[[#This Row],[C3/m²]:[C4/m²]]),IF(MOD(BA$2,Materialedata[[#This Row],[Levetid]])=0,SUM(Materialedata[[#This Row],[A1-A3/m²]:[C4/m²]]),0))
))</f>
        <v>6.6138138138138132</v>
      </c>
      <c r="BB39" s="141">
        <f>IF(BB$2&gt;Input_Tidshorisont,BlankTegn,IF(BB$2=0,SUM(Materialedata[[#This Row],[A1-A3/m²]:[A4/m²]]),
BA39+IF(BB$2=Input_Tidshorisont,SUM(Materialedata[[#This Row],[C3/m²]:[C4/m²]]),IF(MOD(BB$2,Materialedata[[#This Row],[Levetid]])=0,SUM(Materialedata[[#This Row],[A1-A3/m²]:[C4/m²]]),0))
))</f>
        <v>6.6138138138138132</v>
      </c>
      <c r="BC39" s="141">
        <f>IF(BC$2&gt;Input_Tidshorisont,BlankTegn,IF(BC$2=0,SUM(Materialedata[[#This Row],[A1-A3/m²]:[A4/m²]]),
BB39+IF(BC$2=Input_Tidshorisont,SUM(Materialedata[[#This Row],[C3/m²]:[C4/m²]]),IF(MOD(BC$2,Materialedata[[#This Row],[Levetid]])=0,SUM(Materialedata[[#This Row],[A1-A3/m²]:[C4/m²]]),0))
))</f>
        <v>6.6138138138138132</v>
      </c>
      <c r="BD39" s="141">
        <f>IF(BD$2&gt;Input_Tidshorisont,BlankTegn,IF(BD$2=0,SUM(Materialedata[[#This Row],[A1-A3/m²]:[A4/m²]]),
BC39+IF(BD$2=Input_Tidshorisont,SUM(Materialedata[[#This Row],[C3/m²]:[C4/m²]]),IF(MOD(BD$2,Materialedata[[#This Row],[Levetid]])=0,SUM(Materialedata[[#This Row],[A1-A3/m²]:[C4/m²]]),0))
))</f>
        <v>6.6138138138138132</v>
      </c>
      <c r="BE39" s="141">
        <f>IF(BE$2&gt;Input_Tidshorisont,BlankTegn,IF(BE$2=0,SUM(Materialedata[[#This Row],[A1-A3/m²]:[A4/m²]]),
BD39+IF(BE$2=Input_Tidshorisont,SUM(Materialedata[[#This Row],[C3/m²]:[C4/m²]]),IF(MOD(BE$2,Materialedata[[#This Row],[Levetid]])=0,SUM(Materialedata[[#This Row],[A1-A3/m²]:[C4/m²]]),0))
))</f>
        <v>6.6138138138138132</v>
      </c>
      <c r="BF39" s="141">
        <f>IF(BF$2&gt;Input_Tidshorisont,BlankTegn,IF(BF$2=0,SUM(Materialedata[[#This Row],[A1-A3/m²]:[A4/m²]]),
BE39+IF(BF$2=Input_Tidshorisont,SUM(Materialedata[[#This Row],[C3/m²]:[C4/m²]]),IF(MOD(BF$2,Materialedata[[#This Row],[Levetid]])=0,SUM(Materialedata[[#This Row],[A1-A3/m²]:[C4/m²]]),0))
))</f>
        <v>6.6138138138138132</v>
      </c>
      <c r="BG39" s="141">
        <f>IF(BG$2&gt;Input_Tidshorisont,BlankTegn,IF(BG$2=0,SUM(Materialedata[[#This Row],[A1-A3/m²]:[A4/m²]]),
BF39+IF(BG$2=Input_Tidshorisont,SUM(Materialedata[[#This Row],[C3/m²]:[C4/m²]]),IF(MOD(BG$2,Materialedata[[#This Row],[Levetid]])=0,SUM(Materialedata[[#This Row],[A1-A3/m²]:[C4/m²]]),0))
))</f>
        <v>6.6138138138138132</v>
      </c>
      <c r="BH39" s="141">
        <f>IF(BH$2&gt;Input_Tidshorisont,BlankTegn,IF(BH$2=0,SUM(Materialedata[[#This Row],[A1-A3/m²]:[A4/m²]]),
BG39+IF(BH$2=Input_Tidshorisont,SUM(Materialedata[[#This Row],[C3/m²]:[C4/m²]]),IF(MOD(BH$2,Materialedata[[#This Row],[Levetid]])=0,SUM(Materialedata[[#This Row],[A1-A3/m²]:[C4/m²]]),0))
))</f>
        <v>6.6138138138138132</v>
      </c>
      <c r="BI39" s="141">
        <f>IF(BI$2&gt;Input_Tidshorisont,BlankTegn,IF(BI$2=0,SUM(Materialedata[[#This Row],[A1-A3/m²]:[A4/m²]]),
BH39+IF(BI$2=Input_Tidshorisont,SUM(Materialedata[[#This Row],[C3/m²]:[C4/m²]]),IF(MOD(BI$2,Materialedata[[#This Row],[Levetid]])=0,SUM(Materialedata[[#This Row],[A1-A3/m²]:[C4/m²]]),0))
))</f>
        <v>6.6138138138138132</v>
      </c>
      <c r="BJ39" s="141">
        <f>IF(BJ$2&gt;Input_Tidshorisont,BlankTegn,IF(BJ$2=0,SUM(Materialedata[[#This Row],[A1-A3/m²]:[A4/m²]]),
BI39+IF(BJ$2=Input_Tidshorisont,SUM(Materialedata[[#This Row],[C3/m²]:[C4/m²]]),IF(MOD(BJ$2,Materialedata[[#This Row],[Levetid]])=0,SUM(Materialedata[[#This Row],[A1-A3/m²]:[C4/m²]]),0))
))</f>
        <v>6.6138138138138132</v>
      </c>
      <c r="BK39" s="141">
        <f>IF(BK$2&gt;Input_Tidshorisont,BlankTegn,IF(BK$2=0,SUM(Materialedata[[#This Row],[A1-A3/m²]:[A4/m²]]),
BJ39+IF(BK$2=Input_Tidshorisont,SUM(Materialedata[[#This Row],[C3/m²]:[C4/m²]]),IF(MOD(BK$2,Materialedata[[#This Row],[Levetid]])=0,SUM(Materialedata[[#This Row],[A1-A3/m²]:[C4/m²]]),0))
))</f>
        <v>6.6138138138138132</v>
      </c>
      <c r="BL39" s="141">
        <f>IF(BL$2&gt;Input_Tidshorisont,BlankTegn,IF(BL$2=0,SUM(Materialedata[[#This Row],[A1-A3/m²]:[A4/m²]]),
BK39+IF(BL$2=Input_Tidshorisont,SUM(Materialedata[[#This Row],[C3/m²]:[C4/m²]]),IF(MOD(BL$2,Materialedata[[#This Row],[Levetid]])=0,SUM(Materialedata[[#This Row],[A1-A3/m²]:[C4/m²]]),0))
))</f>
        <v>6.6138138138138132</v>
      </c>
      <c r="BM39" s="141">
        <f>IF(BM$2&gt;Input_Tidshorisont,BlankTegn,IF(BM$2=0,SUM(Materialedata[[#This Row],[A1-A3/m²]:[A4/m²]]),
BL39+IF(BM$2=Input_Tidshorisont,SUM(Materialedata[[#This Row],[C3/m²]:[C4/m²]]),IF(MOD(BM$2,Materialedata[[#This Row],[Levetid]])=0,SUM(Materialedata[[#This Row],[A1-A3/m²]:[C4/m²]]),0))
))</f>
        <v>6.6138138138138132</v>
      </c>
      <c r="BN39" s="141">
        <f>IF(BN$2&gt;Input_Tidshorisont,BlankTegn,IF(BN$2=0,SUM(Materialedata[[#This Row],[A1-A3/m²]:[A4/m²]]),
BM39+IF(BN$2=Input_Tidshorisont,SUM(Materialedata[[#This Row],[C3/m²]:[C4/m²]]),IF(MOD(BN$2,Materialedata[[#This Row],[Levetid]])=0,SUM(Materialedata[[#This Row],[A1-A3/m²]:[C4/m²]]),0))
))</f>
        <v>6.6138138138138132</v>
      </c>
      <c r="BO39" s="141">
        <f>IF(BO$2&gt;Input_Tidshorisont,BlankTegn,IF(BO$2=0,SUM(Materialedata[[#This Row],[A1-A3/m²]:[A4/m²]]),
BN39+IF(BO$2=Input_Tidshorisont,SUM(Materialedata[[#This Row],[C3/m²]:[C4/m²]]),IF(MOD(BO$2,Materialedata[[#This Row],[Levetid]])=0,SUM(Materialedata[[#This Row],[A1-A3/m²]:[C4/m²]]),0))
))</f>
        <v>6.6138138138138132</v>
      </c>
      <c r="BP39" s="141">
        <f>IF(BP$2&gt;Input_Tidshorisont,BlankTegn,IF(BP$2=0,SUM(Materialedata[[#This Row],[A1-A3/m²]:[A4/m²]]),
BO39+IF(BP$2=Input_Tidshorisont,SUM(Materialedata[[#This Row],[C3/m²]:[C4/m²]]),IF(MOD(BP$2,Materialedata[[#This Row],[Levetid]])=0,SUM(Materialedata[[#This Row],[A1-A3/m²]:[C4/m²]]),0))
))</f>
        <v>6.6138138138138132</v>
      </c>
      <c r="BQ39" s="141">
        <f>IF(BQ$2&gt;Input_Tidshorisont,BlankTegn,IF(BQ$2=0,SUM(Materialedata[[#This Row],[A1-A3/m²]:[A4/m²]]),
BP39+IF(BQ$2=Input_Tidshorisont,SUM(Materialedata[[#This Row],[C3/m²]:[C4/m²]]),IF(MOD(BQ$2,Materialedata[[#This Row],[Levetid]])=0,SUM(Materialedata[[#This Row],[A1-A3/m²]:[C4/m²]]),0))
))</f>
        <v>6.6138138138138132</v>
      </c>
      <c r="BR39" s="141">
        <f>IF(BR$2&gt;Input_Tidshorisont,BlankTegn,IF(BR$2=0,SUM(Materialedata[[#This Row],[A1-A3/m²]:[A4/m²]]),
BQ39+IF(BR$2=Input_Tidshorisont,SUM(Materialedata[[#This Row],[C3/m²]:[C4/m²]]),IF(MOD(BR$2,Materialedata[[#This Row],[Levetid]])=0,SUM(Materialedata[[#This Row],[A1-A3/m²]:[C4/m²]]),0))
))</f>
        <v>6.6138138138138132</v>
      </c>
      <c r="BS39" s="141">
        <f>IF(BS$2&gt;Input_Tidshorisont,BlankTegn,IF(BS$2=0,SUM(Materialedata[[#This Row],[A1-A3/m²]:[A4/m²]]),
BR39+IF(BS$2=Input_Tidshorisont,SUM(Materialedata[[#This Row],[C3/m²]:[C4/m²]]),IF(MOD(BS$2,Materialedata[[#This Row],[Levetid]])=0,SUM(Materialedata[[#This Row],[A1-A3/m²]:[C4/m²]]),0))
))</f>
        <v>6.6138138138138132</v>
      </c>
      <c r="BT39" s="141">
        <f>IF(BT$2&gt;Input_Tidshorisont,BlankTegn,IF(BT$2=0,SUM(Materialedata[[#This Row],[A1-A3/m²]:[A4/m²]]),
BS39+IF(BT$2=Input_Tidshorisont,SUM(Materialedata[[#This Row],[C3/m²]:[C4/m²]]),IF(MOD(BT$2,Materialedata[[#This Row],[Levetid]])=0,SUM(Materialedata[[#This Row],[A1-A3/m²]:[C4/m²]]),0))
))</f>
        <v>6.6138138138138132</v>
      </c>
      <c r="BU39" s="141">
        <f>IF(BU$2&gt;Input_Tidshorisont,BlankTegn,IF(BU$2=0,SUM(Materialedata[[#This Row],[A1-A3/m²]:[A4/m²]]),
BT39+IF(BU$2=Input_Tidshorisont,SUM(Materialedata[[#This Row],[C3/m²]:[C4/m²]]),IF(MOD(BU$2,Materialedata[[#This Row],[Levetid]])=0,SUM(Materialedata[[#This Row],[A1-A3/m²]:[C4/m²]]),0))
))</f>
        <v>6.6138138138138132</v>
      </c>
      <c r="BV39" s="141">
        <f>IF(BV$2&gt;Input_Tidshorisont,BlankTegn,IF(BV$2=0,SUM(Materialedata[[#This Row],[A1-A3/m²]:[A4/m²]]),
BU39+IF(BV$2=Input_Tidshorisont,SUM(Materialedata[[#This Row],[C3/m²]:[C4/m²]]),IF(MOD(BV$2,Materialedata[[#This Row],[Levetid]])=0,SUM(Materialedata[[#This Row],[A1-A3/m²]:[C4/m²]]),0))
))</f>
        <v>6.6138138138138132</v>
      </c>
      <c r="BW39" s="141">
        <f>IF(BW$2&gt;Input_Tidshorisont,BlankTegn,IF(BW$2=0,SUM(Materialedata[[#This Row],[A1-A3/m²]:[A4/m²]]),
BV39+IF(BW$2=Input_Tidshorisont,SUM(Materialedata[[#This Row],[C3/m²]:[C4/m²]]),IF(MOD(BW$2,Materialedata[[#This Row],[Levetid]])=0,SUM(Materialedata[[#This Row],[A1-A3/m²]:[C4/m²]]),0))
))</f>
        <v>6.6138138138138132</v>
      </c>
      <c r="BX39" s="141">
        <f>IF(BX$2&gt;Input_Tidshorisont,BlankTegn,IF(BX$2=0,SUM(Materialedata[[#This Row],[A1-A3/m²]:[A4/m²]]),
BW39+IF(BX$2=Input_Tidshorisont,SUM(Materialedata[[#This Row],[C3/m²]:[C4/m²]]),IF(MOD(BX$2,Materialedata[[#This Row],[Levetid]])=0,SUM(Materialedata[[#This Row],[A1-A3/m²]:[C4/m²]]),0))
))</f>
        <v>6.6138138138138132</v>
      </c>
      <c r="BY39" s="141">
        <f>IF(BY$2&gt;Input_Tidshorisont,BlankTegn,IF(BY$2=0,SUM(Materialedata[[#This Row],[A1-A3/m²]:[A4/m²]]),
BX39+IF(BY$2=Input_Tidshorisont,SUM(Materialedata[[#This Row],[C3/m²]:[C4/m²]]),IF(MOD(BY$2,Materialedata[[#This Row],[Levetid]])=0,SUM(Materialedata[[#This Row],[A1-A3/m²]:[C4/m²]]),0))
))</f>
        <v>6.6138138138138132</v>
      </c>
      <c r="BZ39" s="141">
        <f>IF(BZ$2&gt;Input_Tidshorisont,BlankTegn,IF(BZ$2=0,SUM(Materialedata[[#This Row],[A1-A3/m²]:[A4/m²]]),
BY39+IF(BZ$2=Input_Tidshorisont,SUM(Materialedata[[#This Row],[C3/m²]:[C4/m²]]),IF(MOD(BZ$2,Materialedata[[#This Row],[Levetid]])=0,SUM(Materialedata[[#This Row],[A1-A3/m²]:[C4/m²]]),0))
))</f>
        <v>6.6138138138138132</v>
      </c>
      <c r="CA39" s="141">
        <f>IF(CA$2&gt;Input_Tidshorisont,BlankTegn,IF(CA$2=0,SUM(Materialedata[[#This Row],[A1-A3/m²]:[A4/m²]]),
BZ39+IF(CA$2=Input_Tidshorisont,SUM(Materialedata[[#This Row],[C3/m²]:[C4/m²]]),IF(MOD(CA$2,Materialedata[[#This Row],[Levetid]])=0,SUM(Materialedata[[#This Row],[A1-A3/m²]:[C4/m²]]),0))
))</f>
        <v>6.6138138138138132</v>
      </c>
      <c r="CB39" s="141">
        <f>IF(CB$2&gt;Input_Tidshorisont,BlankTegn,IF(CB$2=0,SUM(Materialedata[[#This Row],[A1-A3/m²]:[A4/m²]]),
CA39+IF(CB$2=Input_Tidshorisont,SUM(Materialedata[[#This Row],[C3/m²]:[C4/m²]]),IF(MOD(CB$2,Materialedata[[#This Row],[Levetid]])=0,SUM(Materialedata[[#This Row],[A1-A3/m²]:[C4/m²]]),0))
))</f>
        <v>6.6138138138138132</v>
      </c>
      <c r="CC39" s="141">
        <f>IF(CC$2&gt;Input_Tidshorisont,BlankTegn,IF(CC$2=0,SUM(Materialedata[[#This Row],[A1-A3/m²]:[A4/m²]]),
CB39+IF(CC$2=Input_Tidshorisont,SUM(Materialedata[[#This Row],[C3/m²]:[C4/m²]]),IF(MOD(CC$2,Materialedata[[#This Row],[Levetid]])=0,SUM(Materialedata[[#This Row],[A1-A3/m²]:[C4/m²]]),0))
))</f>
        <v>6.6138138138138132</v>
      </c>
      <c r="CD39" s="141">
        <f>IF(CD$2&gt;Input_Tidshorisont,BlankTegn,IF(CD$2=0,SUM(Materialedata[[#This Row],[A1-A3/m²]:[A4/m²]]),
CC39+IF(CD$2=Input_Tidshorisont,SUM(Materialedata[[#This Row],[C3/m²]:[C4/m²]]),IF(MOD(CD$2,Materialedata[[#This Row],[Levetid]])=0,SUM(Materialedata[[#This Row],[A1-A3/m²]:[C4/m²]]),0))
))</f>
        <v>6.6138138138138132</v>
      </c>
      <c r="CE39" s="141">
        <f>IF(CE$2&gt;Input_Tidshorisont,BlankTegn,IF(CE$2=0,SUM(Materialedata[[#This Row],[A1-A3/m²]:[A4/m²]]),
CD39+IF(CE$2=Input_Tidshorisont,SUM(Materialedata[[#This Row],[C3/m²]:[C4/m²]]),IF(MOD(CE$2,Materialedata[[#This Row],[Levetid]])=0,SUM(Materialedata[[#This Row],[A1-A3/m²]:[C4/m²]]),0))
))</f>
        <v>6.6138138138138132</v>
      </c>
      <c r="CF39" s="141">
        <f>IF(CF$2&gt;Input_Tidshorisont,BlankTegn,IF(CF$2=0,SUM(Materialedata[[#This Row],[A1-A3/m²]:[A4/m²]]),
CE39+IF(CF$2=Input_Tidshorisont,SUM(Materialedata[[#This Row],[C3/m²]:[C4/m²]]),IF(MOD(CF$2,Materialedata[[#This Row],[Levetid]])=0,SUM(Materialedata[[#This Row],[A1-A3/m²]:[C4/m²]]),0))
))</f>
        <v>6.6138138138138132</v>
      </c>
      <c r="CG39" s="141">
        <f>IF(CG$2&gt;Input_Tidshorisont,BlankTegn,IF(CG$2=0,SUM(Materialedata[[#This Row],[A1-A3/m²]:[A4/m²]]),
CF39+IF(CG$2=Input_Tidshorisont,SUM(Materialedata[[#This Row],[C3/m²]:[C4/m²]]),IF(MOD(CG$2,Materialedata[[#This Row],[Levetid]])=0,SUM(Materialedata[[#This Row],[A1-A3/m²]:[C4/m²]]),0))
))</f>
        <v>6.6138138138138132</v>
      </c>
      <c r="CH39" s="141">
        <f>IF(CH$2&gt;Input_Tidshorisont,BlankTegn,IF(CH$2=0,SUM(Materialedata[[#This Row],[A1-A3/m²]:[A4/m²]]),
CG39+IF(CH$2=Input_Tidshorisont,SUM(Materialedata[[#This Row],[C3/m²]:[C4/m²]]),IF(MOD(CH$2,Materialedata[[#This Row],[Levetid]])=0,SUM(Materialedata[[#This Row],[A1-A3/m²]:[C4/m²]]),0))
))</f>
        <v>6.8912912912912905</v>
      </c>
      <c r="CI39" s="141" t="str">
        <f>IF(CI$2&gt;Input_Tidshorisont,BlankTegn,IF(CI$2=0,SUM(Materialedata[[#This Row],[A1-A3/m²]:[A4/m²]]),
CH39+IF(CI$2=Input_Tidshorisont,SUM(Materialedata[[#This Row],[C3/m²]:[C4/m²]]),IF(MOD(CI$2,Materialedata[[#This Row],[Levetid]])=0,SUM(Materialedata[[#This Row],[A1-A3/m²]:[C4/m²]]),0))
))</f>
        <v>.</v>
      </c>
      <c r="CJ39" s="141" t="str">
        <f>IF(CJ$2&gt;Input_Tidshorisont,BlankTegn,IF(CJ$2=0,SUM(Materialedata[[#This Row],[A1-A3/m²]:[A4/m²]]),
CI39+IF(CJ$2=Input_Tidshorisont,SUM(Materialedata[[#This Row],[C3/m²]:[C4/m²]]),IF(MOD(CJ$2,Materialedata[[#This Row],[Levetid]])=0,SUM(Materialedata[[#This Row],[A1-A3/m²]:[C4/m²]]),0))
))</f>
        <v>.</v>
      </c>
      <c r="CK39" s="141" t="str">
        <f>IF(CK$2&gt;Input_Tidshorisont,BlankTegn,IF(CK$2=0,SUM(Materialedata[[#This Row],[A1-A3/m²]:[A4/m²]]),
CJ39+IF(CK$2=Input_Tidshorisont,SUM(Materialedata[[#This Row],[C3/m²]:[C4/m²]]),IF(MOD(CK$2,Materialedata[[#This Row],[Levetid]])=0,SUM(Materialedata[[#This Row],[A1-A3/m²]:[C4/m²]]),0))
))</f>
        <v>.</v>
      </c>
      <c r="CL39" s="141" t="str">
        <f>IF(CL$2&gt;Input_Tidshorisont,BlankTegn,IF(CL$2=0,SUM(Materialedata[[#This Row],[A1-A3/m²]:[A4/m²]]),
CK39+IF(CL$2=Input_Tidshorisont,SUM(Materialedata[[#This Row],[C3/m²]:[C4/m²]]),IF(MOD(CL$2,Materialedata[[#This Row],[Levetid]])=0,SUM(Materialedata[[#This Row],[A1-A3/m²]:[C4/m²]]),0))
))</f>
        <v>.</v>
      </c>
      <c r="CM39" s="141" t="str">
        <f>IF(CM$2&gt;Input_Tidshorisont,BlankTegn,IF(CM$2=0,SUM(Materialedata[[#This Row],[A1-A3/m²]:[A4/m²]]),
CL39+IF(CM$2=Input_Tidshorisont,SUM(Materialedata[[#This Row],[C3/m²]:[C4/m²]]),IF(MOD(CM$2,Materialedata[[#This Row],[Levetid]])=0,SUM(Materialedata[[#This Row],[A1-A3/m²]:[C4/m²]]),0))
))</f>
        <v>.</v>
      </c>
      <c r="CN39" s="141" t="str">
        <f>IF(CN$2&gt;Input_Tidshorisont,BlankTegn,IF(CN$2=0,SUM(Materialedata[[#This Row],[A1-A3/m²]:[A4/m²]]),
CM39+IF(CN$2=Input_Tidshorisont,SUM(Materialedata[[#This Row],[C3/m²]:[C4/m²]]),IF(MOD(CN$2,Materialedata[[#This Row],[Levetid]])=0,SUM(Materialedata[[#This Row],[A1-A3/m²]:[C4/m²]]),0))
))</f>
        <v>.</v>
      </c>
      <c r="CO39" s="141" t="str">
        <f>IF(CO$2&gt;Input_Tidshorisont,BlankTegn,IF(CO$2=0,SUM(Materialedata[[#This Row],[A1-A3/m²]:[A4/m²]]),
CN39+IF(CO$2=Input_Tidshorisont,SUM(Materialedata[[#This Row],[C3/m²]:[C4/m²]]),IF(MOD(CO$2,Materialedata[[#This Row],[Levetid]])=0,SUM(Materialedata[[#This Row],[A1-A3/m²]:[C4/m²]]),0))
))</f>
        <v>.</v>
      </c>
      <c r="CP39" s="141" t="str">
        <f>IF(CP$2&gt;Input_Tidshorisont,BlankTegn,IF(CP$2=0,SUM(Materialedata[[#This Row],[A1-A3/m²]:[A4/m²]]),
CO39+IF(CP$2=Input_Tidshorisont,SUM(Materialedata[[#This Row],[C3/m²]:[C4/m²]]),IF(MOD(CP$2,Materialedata[[#This Row],[Levetid]])=0,SUM(Materialedata[[#This Row],[A1-A3/m²]:[C4/m²]]),0))
))</f>
        <v>.</v>
      </c>
      <c r="CQ39" s="141" t="str">
        <f>IF(CQ$2&gt;Input_Tidshorisont,BlankTegn,IF(CQ$2=0,SUM(Materialedata[[#This Row],[A1-A3/m²]:[A4/m²]]),
CP39+IF(CQ$2=Input_Tidshorisont,SUM(Materialedata[[#This Row],[C3/m²]:[C4/m²]]),IF(MOD(CQ$2,Materialedata[[#This Row],[Levetid]])=0,SUM(Materialedata[[#This Row],[A1-A3/m²]:[C4/m²]]),0))
))</f>
        <v>.</v>
      </c>
      <c r="CR39" s="141" t="str">
        <f>IF(CR$2&gt;Input_Tidshorisont,BlankTegn,IF(CR$2=0,SUM(Materialedata[[#This Row],[A1-A3/m²]:[A4/m²]]),
CQ39+IF(CR$2=Input_Tidshorisont,SUM(Materialedata[[#This Row],[C3/m²]:[C4/m²]]),IF(MOD(CR$2,Materialedata[[#This Row],[Levetid]])=0,SUM(Materialedata[[#This Row],[A1-A3/m²]:[C4/m²]]),0))
))</f>
        <v>.</v>
      </c>
      <c r="CS39" s="141" t="str">
        <f>IF(CS$2&gt;Input_Tidshorisont,BlankTegn,IF(CS$2=0,SUM(Materialedata[[#This Row],[A1-A3/m²]:[A4/m²]]),
CR39+IF(CS$2=Input_Tidshorisont,SUM(Materialedata[[#This Row],[C3/m²]:[C4/m²]]),IF(MOD(CS$2,Materialedata[[#This Row],[Levetid]])=0,SUM(Materialedata[[#This Row],[A1-A3/m²]:[C4/m²]]),0))
))</f>
        <v>.</v>
      </c>
      <c r="CT39" s="141" t="str">
        <f>IF(CT$2&gt;Input_Tidshorisont,BlankTegn,IF(CT$2=0,SUM(Materialedata[[#This Row],[A1-A3/m²]:[A4/m²]]),
CS39+IF(CT$2=Input_Tidshorisont,SUM(Materialedata[[#This Row],[C3/m²]:[C4/m²]]),IF(MOD(CT$2,Materialedata[[#This Row],[Levetid]])=0,SUM(Materialedata[[#This Row],[A1-A3/m²]:[C4/m²]]),0))
))</f>
        <v>.</v>
      </c>
      <c r="CU39" s="141" t="str">
        <f>IF(CU$2&gt;Input_Tidshorisont,BlankTegn,IF(CU$2=0,SUM(Materialedata[[#This Row],[A1-A3/m²]:[A4/m²]]),
CT39+IF(CU$2=Input_Tidshorisont,SUM(Materialedata[[#This Row],[C3/m²]:[C4/m²]]),IF(MOD(CU$2,Materialedata[[#This Row],[Levetid]])=0,SUM(Materialedata[[#This Row],[A1-A3/m²]:[C4/m²]]),0))
))</f>
        <v>.</v>
      </c>
      <c r="CV39" s="141" t="str">
        <f>IF(CV$2&gt;Input_Tidshorisont,BlankTegn,IF(CV$2=0,SUM(Materialedata[[#This Row],[A1-A3/m²]:[A4/m²]]),
CU39+IF(CV$2=Input_Tidshorisont,SUM(Materialedata[[#This Row],[C3/m²]:[C4/m²]]),IF(MOD(CV$2,Materialedata[[#This Row],[Levetid]])=0,SUM(Materialedata[[#This Row],[A1-A3/m²]:[C4/m²]]),0))
))</f>
        <v>.</v>
      </c>
      <c r="CW39" s="141" t="str">
        <f>IF(CW$2&gt;Input_Tidshorisont,BlankTegn,IF(CW$2=0,SUM(Materialedata[[#This Row],[A1-A3/m²]:[A4/m²]]),
CV39+IF(CW$2=Input_Tidshorisont,SUM(Materialedata[[#This Row],[C3/m²]:[C4/m²]]),IF(MOD(CW$2,Materialedata[[#This Row],[Levetid]])=0,SUM(Materialedata[[#This Row],[A1-A3/m²]:[C4/m²]]),0))
))</f>
        <v>.</v>
      </c>
      <c r="CX39" s="141" t="str">
        <f>IF(CX$2&gt;Input_Tidshorisont,BlankTegn,IF(CX$2=0,SUM(Materialedata[[#This Row],[A1-A3/m²]:[A4/m²]]),
CW39+IF(CX$2=Input_Tidshorisont,SUM(Materialedata[[#This Row],[C3/m²]:[C4/m²]]),IF(MOD(CX$2,Materialedata[[#This Row],[Levetid]])=0,SUM(Materialedata[[#This Row],[A1-A3/m²]:[C4/m²]]),0))
))</f>
        <v>.</v>
      </c>
      <c r="CY39" s="141" t="str">
        <f>IF(CY$2&gt;Input_Tidshorisont,BlankTegn,IF(CY$2=0,SUM(Materialedata[[#This Row],[A1-A3/m²]:[A4/m²]]),
CX39+IF(CY$2=Input_Tidshorisont,SUM(Materialedata[[#This Row],[C3/m²]:[C4/m²]]),IF(MOD(CY$2,Materialedata[[#This Row],[Levetid]])=0,SUM(Materialedata[[#This Row],[A1-A3/m²]:[C4/m²]]),0))
))</f>
        <v>.</v>
      </c>
      <c r="CZ39" s="141" t="str">
        <f>IF(CZ$2&gt;Input_Tidshorisont,BlankTegn,IF(CZ$2=0,SUM(Materialedata[[#This Row],[A1-A3/m²]:[A4/m²]]),
CY39+IF(CZ$2=Input_Tidshorisont,SUM(Materialedata[[#This Row],[C3/m²]:[C4/m²]]),IF(MOD(CZ$2,Materialedata[[#This Row],[Levetid]])=0,SUM(Materialedata[[#This Row],[A1-A3/m²]:[C4/m²]]),0))
))</f>
        <v>.</v>
      </c>
      <c r="DA39" s="141" t="str">
        <f>IF(DA$2&gt;Input_Tidshorisont,BlankTegn,IF(DA$2=0,SUM(Materialedata[[#This Row],[A1-A3/m²]:[A4/m²]]),
CZ39+IF(DA$2=Input_Tidshorisont,SUM(Materialedata[[#This Row],[C3/m²]:[C4/m²]]),IF(MOD(DA$2,Materialedata[[#This Row],[Levetid]])=0,SUM(Materialedata[[#This Row],[A1-A3/m²]:[C4/m²]]),0))
))</f>
        <v>.</v>
      </c>
      <c r="DB39" s="141" t="str">
        <f>IF(DB$2&gt;Input_Tidshorisont,BlankTegn,IF(DB$2=0,SUM(Materialedata[[#This Row],[A1-A3/m²]:[A4/m²]]),
DA39+IF(DB$2=Input_Tidshorisont,SUM(Materialedata[[#This Row],[C3/m²]:[C4/m²]]),IF(MOD(DB$2,Materialedata[[#This Row],[Levetid]])=0,SUM(Materialedata[[#This Row],[A1-A3/m²]:[C4/m²]]),0))
))</f>
        <v>.</v>
      </c>
      <c r="DC39" s="141" t="str">
        <f>IF(DC$2&gt;Input_Tidshorisont,BlankTegn,IF(DC$2=0,SUM(Materialedata[[#This Row],[A1-A3/m²]:[A4/m²]]),
DB39+IF(DC$2=Input_Tidshorisont,SUM(Materialedata[[#This Row],[C3/m²]:[C4/m²]]),IF(MOD(DC$2,Materialedata[[#This Row],[Levetid]])=0,SUM(Materialedata[[#This Row],[A1-A3/m²]:[C4/m²]]),0))
))</f>
        <v>.</v>
      </c>
      <c r="DD39" s="141" t="str">
        <f>IF(DD$2&gt;Input_Tidshorisont,BlankTegn,IF(DD$2=0,SUM(Materialedata[[#This Row],[A1-A3/m²]:[A4/m²]]),
DC39+IF(DD$2=Input_Tidshorisont,SUM(Materialedata[[#This Row],[C3/m²]:[C4/m²]]),IF(MOD(DD$2,Materialedata[[#This Row],[Levetid]])=0,SUM(Materialedata[[#This Row],[A1-A3/m²]:[C4/m²]]),0))
))</f>
        <v>.</v>
      </c>
      <c r="DE39" s="141" t="str">
        <f>IF(DE$2&gt;Input_Tidshorisont,BlankTegn,IF(DE$2=0,SUM(Materialedata[[#This Row],[A1-A3/m²]:[A4/m²]]),
DD39+IF(DE$2=Input_Tidshorisont,SUM(Materialedata[[#This Row],[C3/m²]:[C4/m²]]),IF(MOD(DE$2,Materialedata[[#This Row],[Levetid]])=0,SUM(Materialedata[[#This Row],[A1-A3/m²]:[C4/m²]]),0))
))</f>
        <v>.</v>
      </c>
      <c r="DF39" s="141" t="str">
        <f>IF(DF$2&gt;Input_Tidshorisont,BlankTegn,IF(DF$2=0,SUM(Materialedata[[#This Row],[A1-A3/m²]:[A4/m²]]),
DE39+IF(DF$2=Input_Tidshorisont,SUM(Materialedata[[#This Row],[C3/m²]:[C4/m²]]),IF(MOD(DF$2,Materialedata[[#This Row],[Levetid]])=0,SUM(Materialedata[[#This Row],[A1-A3/m²]:[C4/m²]]),0))
))</f>
        <v>.</v>
      </c>
      <c r="DG39" s="141" t="str">
        <f>IF(DG$2&gt;Input_Tidshorisont,BlankTegn,IF(DG$2=0,SUM(Materialedata[[#This Row],[A1-A3/m²]:[A4/m²]]),
DF39+IF(DG$2=Input_Tidshorisont,SUM(Materialedata[[#This Row],[C3/m²]:[C4/m²]]),IF(MOD(DG$2,Materialedata[[#This Row],[Levetid]])=0,SUM(Materialedata[[#This Row],[A1-A3/m²]:[C4/m²]]),0))
))</f>
        <v>.</v>
      </c>
      <c r="DH39" s="141" t="str">
        <f>IF(DH$2&gt;Input_Tidshorisont,BlankTegn,IF(DH$2=0,SUM(Materialedata[[#This Row],[A1-A3/m²]:[A4/m²]]),
DG39+IF(DH$2=Input_Tidshorisont,SUM(Materialedata[[#This Row],[C3/m²]:[C4/m²]]),IF(MOD(DH$2,Materialedata[[#This Row],[Levetid]])=0,SUM(Materialedata[[#This Row],[A1-A3/m²]:[C4/m²]]),0))
))</f>
        <v>.</v>
      </c>
      <c r="DI39" s="141" t="str">
        <f>IF(DI$2&gt;Input_Tidshorisont,BlankTegn,IF(DI$2=0,SUM(Materialedata[[#This Row],[A1-A3/m²]:[A4/m²]]),
DH39+IF(DI$2=Input_Tidshorisont,SUM(Materialedata[[#This Row],[C3/m²]:[C4/m²]]),IF(MOD(DI$2,Materialedata[[#This Row],[Levetid]])=0,SUM(Materialedata[[#This Row],[A1-A3/m²]:[C4/m²]]),0))
))</f>
        <v>.</v>
      </c>
      <c r="DJ39" s="141" t="str">
        <f>IF(DJ$2&gt;Input_Tidshorisont,BlankTegn,IF(DJ$2=0,SUM(Materialedata[[#This Row],[A1-A3/m²]:[A4/m²]]),
DI39+IF(DJ$2=Input_Tidshorisont,SUM(Materialedata[[#This Row],[C3/m²]:[C4/m²]]),IF(MOD(DJ$2,Materialedata[[#This Row],[Levetid]])=0,SUM(Materialedata[[#This Row],[A1-A3/m²]:[C4/m²]]),0))
))</f>
        <v>.</v>
      </c>
      <c r="DK39" s="141" t="str">
        <f>IF(DK$2&gt;Input_Tidshorisont,BlankTegn,IF(DK$2=0,SUM(Materialedata[[#This Row],[A1-A3/m²]:[A4/m²]]),
DJ39+IF(DK$2=Input_Tidshorisont,SUM(Materialedata[[#This Row],[C3/m²]:[C4/m²]]),IF(MOD(DK$2,Materialedata[[#This Row],[Levetid]])=0,SUM(Materialedata[[#This Row],[A1-A3/m²]:[C4/m²]]),0))
))</f>
        <v>.</v>
      </c>
      <c r="DL39" s="141" t="str">
        <f>IF(DL$2&gt;Input_Tidshorisont,BlankTegn,IF(DL$2=0,SUM(Materialedata[[#This Row],[A1-A3/m²]:[A4/m²]]),
DK39+IF(DL$2=Input_Tidshorisont,SUM(Materialedata[[#This Row],[C3/m²]:[C4/m²]]),IF(MOD(DL$2,Materialedata[[#This Row],[Levetid]])=0,SUM(Materialedata[[#This Row],[A1-A3/m²]:[C4/m²]]),0))
))</f>
        <v>.</v>
      </c>
      <c r="DM39" s="19"/>
    </row>
    <row r="40" spans="1:117" ht="39.75" customHeight="1">
      <c r="A40" s="182" t="s">
        <v>40</v>
      </c>
      <c r="B40" s="182" t="s">
        <v>41</v>
      </c>
      <c r="C40" s="148" t="s">
        <v>151</v>
      </c>
      <c r="D40" s="149" t="s">
        <v>281</v>
      </c>
      <c r="E40" s="180" t="s">
        <v>544</v>
      </c>
      <c r="F40" s="182" t="s">
        <v>134</v>
      </c>
      <c r="G40" s="182">
        <v>100</v>
      </c>
      <c r="H40" s="183">
        <v>2720</v>
      </c>
      <c r="I40" s="193">
        <f>0.768*(1/0.333)</f>
        <v>2.3063063063063063</v>
      </c>
      <c r="J40" s="184" t="s">
        <v>101</v>
      </c>
      <c r="K40" s="182">
        <f>2580/1000</f>
        <v>2.58</v>
      </c>
      <c r="L40" s="182" t="s">
        <v>41</v>
      </c>
      <c r="M40" s="185">
        <f>IF(ISBLANK(Materialedata[[#This Row],[A4-gruppe]]),BlankTegn,INDEX(Byggeproces[GWP],MATCH(Materialedata[[#This Row],[A4-gruppe]],Byggeproces[Gruppe/Undergruppe],0)))</f>
        <v>8.6E-3</v>
      </c>
      <c r="N40" s="182">
        <f>2.56/1000</f>
        <v>2.5600000000000002E-3</v>
      </c>
      <c r="O40" s="182">
        <f>0.701/1000</f>
        <v>7.0099999999999991E-4</v>
      </c>
      <c r="P40" s="182">
        <f>-1.5/1000</f>
        <v>-1.5E-3</v>
      </c>
      <c r="Q40" s="277">
        <f>Materialedata[[#This Row],[A1-A3/standardenhed]]*Materialedata[[#This Row],[Mængde/m²]]</f>
        <v>5.9502702702702708</v>
      </c>
      <c r="R40" s="278" cm="1">
        <f t="array" ref="R40">IFERROR(_xlfn.IFS(Materialedata[[#This Row],[Mængde-enhed]]="kg/m²",Materialedata[[#This Row],[A4/kg]]*Materialedata[[#This Row],[Mængde/m²]],Materialedata[[#This Row],[Mængde-enhed]]="m³/m²",Materialedata[[#This Row],[A4/kg]]*Materialedata[[#This Row],[Mængde/m²]]*Materialedata[[#This Row],[Densitet]]),"N/A")</f>
        <v>1.9834234234234235E-2</v>
      </c>
      <c r="S40" s="277">
        <f>Materialedata[[#This Row],[C3/enhed]]*Materialedata[[#This Row],[Mængde/m²]]</f>
        <v>5.9041441441441446E-3</v>
      </c>
      <c r="T40" s="277">
        <f>Materialedata[[#This Row],[C4/enhed]]*Materialedata[[#This Row],[Mængde/m²]]</f>
        <v>1.6167207207207204E-3</v>
      </c>
      <c r="U40" s="277">
        <f>Materialedata[[#This Row],[D/enhed]]*Materialedata[[#This Row],[Mængde/m²]]</f>
        <v>-3.4594594594594594E-3</v>
      </c>
      <c r="V40" s="150">
        <f>IFERROR(INDEX(Range_Materiale_Genbrug,MATCH(Materialedata[[#This Row],[Komponent]],Facadekomponenter,0)),BlankTegn)</f>
        <v>0</v>
      </c>
      <c r="W40" s="150">
        <f>IFERROR(1-Materialedata[[#This Row],[Genbrug]],BlankTegn)</f>
        <v>1</v>
      </c>
      <c r="X40" s="186">
        <f>IFERROR(Materialedata[[#This Row],[A1-A3/m²_nyt]]*Materialedata[[#This Row],[Nyt]],BlankTegn)</f>
        <v>5.9502702702702708</v>
      </c>
      <c r="Y40" s="186">
        <f>Materialedata[[#This Row],[A4/m²_nyt]]</f>
        <v>1.9834234234234235E-2</v>
      </c>
      <c r="Z40" s="186">
        <f>IFERROR(Materialedata[[#This Row],[C3/m²_nyt]]*Materialedata[[#This Row],[Nyt]],BlankTegn)</f>
        <v>5.9041441441441446E-3</v>
      </c>
      <c r="AA40" s="186">
        <f>IFERROR(Materialedata[[#This Row],[C4/m²_nyt]]*Materialedata[[#This Row],[Nyt]],BlankTegn)</f>
        <v>1.6167207207207204E-3</v>
      </c>
      <c r="AB40" s="186">
        <f>IFERROR(Materialedata[[#This Row],[D/m²_nyt]]*Materialedata[[#This Row],[Nyt]],BlankTegn)</f>
        <v>-3.4594594594594594E-3</v>
      </c>
      <c r="AC40" s="187">
        <f>58955.4476235039/1000</f>
        <v>58.955447623503893</v>
      </c>
      <c r="AD40" s="188" t="s">
        <v>134</v>
      </c>
      <c r="AE40" s="391">
        <f>1*Materialedata[[#This Row],[Mængde/m²]]</f>
        <v>2.3063063063063063</v>
      </c>
      <c r="AF40" s="189">
        <f>Materialedata[[#This Row],[Pris/enhed]]*Materialedata[[#This Row],[Omregning]]</f>
        <v>135.96932064519817</v>
      </c>
      <c r="AG40" s="190">
        <v>0.03</v>
      </c>
      <c r="AH40" s="191">
        <v>1</v>
      </c>
      <c r="AI40" s="162">
        <v>0</v>
      </c>
      <c r="AJ40" s="141">
        <f>IF(AJ$2&gt;Input_Tidshorisont,BlankTegn,IF(AJ$2=0,SUM(Materialedata[[#This Row],[A1-A3/m²]:[A4/m²]]),
AI40+IF(AJ$2=Input_Tidshorisont,SUM(Materialedata[[#This Row],[C3/m²]:[C4/m²]]),IF(MOD(AJ$2,Materialedata[[#This Row],[Levetid]])=0,SUM(Materialedata[[#This Row],[A1-A3/m²]:[C4/m²]]),0))
))</f>
        <v>5.9701045045045049</v>
      </c>
      <c r="AK40" s="141">
        <f>IF(AK$2&gt;Input_Tidshorisont,BlankTegn,IF(AK$2=0,SUM(Materialedata[[#This Row],[A1-A3/m²]:[A4/m²]]),
AJ40+IF(AK$2=Input_Tidshorisont,SUM(Materialedata[[#This Row],[C3/m²]:[C4/m²]]),IF(MOD(AK$2,Materialedata[[#This Row],[Levetid]])=0,SUM(Materialedata[[#This Row],[A1-A3/m²]:[C4/m²]]),0))
))</f>
        <v>5.9701045045045049</v>
      </c>
      <c r="AL40" s="141">
        <f>IF(AL$2&gt;Input_Tidshorisont,BlankTegn,IF(AL$2=0,SUM(Materialedata[[#This Row],[A1-A3/m²]:[A4/m²]]),
AK40+IF(AL$2=Input_Tidshorisont,SUM(Materialedata[[#This Row],[C3/m²]:[C4/m²]]),IF(MOD(AL$2,Materialedata[[#This Row],[Levetid]])=0,SUM(Materialedata[[#This Row],[A1-A3/m²]:[C4/m²]]),0))
))</f>
        <v>5.9701045045045049</v>
      </c>
      <c r="AM40" s="141">
        <f>IF(AM$2&gt;Input_Tidshorisont,BlankTegn,IF(AM$2=0,SUM(Materialedata[[#This Row],[A1-A3/m²]:[A4/m²]]),
AL40+IF(AM$2=Input_Tidshorisont,SUM(Materialedata[[#This Row],[C3/m²]:[C4/m²]]),IF(MOD(AM$2,Materialedata[[#This Row],[Levetid]])=0,SUM(Materialedata[[#This Row],[A1-A3/m²]:[C4/m²]]),0))
))</f>
        <v>5.9701045045045049</v>
      </c>
      <c r="AN40" s="141">
        <f>IF(AN$2&gt;Input_Tidshorisont,BlankTegn,IF(AN$2=0,SUM(Materialedata[[#This Row],[A1-A3/m²]:[A4/m²]]),
AM40+IF(AN$2=Input_Tidshorisont,SUM(Materialedata[[#This Row],[C3/m²]:[C4/m²]]),IF(MOD(AN$2,Materialedata[[#This Row],[Levetid]])=0,SUM(Materialedata[[#This Row],[A1-A3/m²]:[C4/m²]]),0))
))</f>
        <v>5.9701045045045049</v>
      </c>
      <c r="AO40" s="141">
        <f>IF(AO$2&gt;Input_Tidshorisont,BlankTegn,IF(AO$2=0,SUM(Materialedata[[#This Row],[A1-A3/m²]:[A4/m²]]),
AN40+IF(AO$2=Input_Tidshorisont,SUM(Materialedata[[#This Row],[C3/m²]:[C4/m²]]),IF(MOD(AO$2,Materialedata[[#This Row],[Levetid]])=0,SUM(Materialedata[[#This Row],[A1-A3/m²]:[C4/m²]]),0))
))</f>
        <v>5.9701045045045049</v>
      </c>
      <c r="AP40" s="141">
        <f>IF(AP$2&gt;Input_Tidshorisont,BlankTegn,IF(AP$2=0,SUM(Materialedata[[#This Row],[A1-A3/m²]:[A4/m²]]),
AO40+IF(AP$2=Input_Tidshorisont,SUM(Materialedata[[#This Row],[C3/m²]:[C4/m²]]),IF(MOD(AP$2,Materialedata[[#This Row],[Levetid]])=0,SUM(Materialedata[[#This Row],[A1-A3/m²]:[C4/m²]]),0))
))</f>
        <v>5.9701045045045049</v>
      </c>
      <c r="AQ40" s="141">
        <f>IF(AQ$2&gt;Input_Tidshorisont,BlankTegn,IF(AQ$2=0,SUM(Materialedata[[#This Row],[A1-A3/m²]:[A4/m²]]),
AP40+IF(AQ$2=Input_Tidshorisont,SUM(Materialedata[[#This Row],[C3/m²]:[C4/m²]]),IF(MOD(AQ$2,Materialedata[[#This Row],[Levetid]])=0,SUM(Materialedata[[#This Row],[A1-A3/m²]:[C4/m²]]),0))
))</f>
        <v>5.9701045045045049</v>
      </c>
      <c r="AR40" s="141">
        <f>IF(AR$2&gt;Input_Tidshorisont,BlankTegn,IF(AR$2=0,SUM(Materialedata[[#This Row],[A1-A3/m²]:[A4/m²]]),
AQ40+IF(AR$2=Input_Tidshorisont,SUM(Materialedata[[#This Row],[C3/m²]:[C4/m²]]),IF(MOD(AR$2,Materialedata[[#This Row],[Levetid]])=0,SUM(Materialedata[[#This Row],[A1-A3/m²]:[C4/m²]]),0))
))</f>
        <v>5.9701045045045049</v>
      </c>
      <c r="AS40" s="141">
        <f>IF(AS$2&gt;Input_Tidshorisont,BlankTegn,IF(AS$2=0,SUM(Materialedata[[#This Row],[A1-A3/m²]:[A4/m²]]),
AR40+IF(AS$2=Input_Tidshorisont,SUM(Materialedata[[#This Row],[C3/m²]:[C4/m²]]),IF(MOD(AS$2,Materialedata[[#This Row],[Levetid]])=0,SUM(Materialedata[[#This Row],[A1-A3/m²]:[C4/m²]]),0))
))</f>
        <v>5.9701045045045049</v>
      </c>
      <c r="AT40" s="141">
        <f>IF(AT$2&gt;Input_Tidshorisont,BlankTegn,IF(AT$2=0,SUM(Materialedata[[#This Row],[A1-A3/m²]:[A4/m²]]),
AS40+IF(AT$2=Input_Tidshorisont,SUM(Materialedata[[#This Row],[C3/m²]:[C4/m²]]),IF(MOD(AT$2,Materialedata[[#This Row],[Levetid]])=0,SUM(Materialedata[[#This Row],[A1-A3/m²]:[C4/m²]]),0))
))</f>
        <v>5.9701045045045049</v>
      </c>
      <c r="AU40" s="141">
        <f>IF(AU$2&gt;Input_Tidshorisont,BlankTegn,IF(AU$2=0,SUM(Materialedata[[#This Row],[A1-A3/m²]:[A4/m²]]),
AT40+IF(AU$2=Input_Tidshorisont,SUM(Materialedata[[#This Row],[C3/m²]:[C4/m²]]),IF(MOD(AU$2,Materialedata[[#This Row],[Levetid]])=0,SUM(Materialedata[[#This Row],[A1-A3/m²]:[C4/m²]]),0))
))</f>
        <v>5.9701045045045049</v>
      </c>
      <c r="AV40" s="141">
        <f>IF(AV$2&gt;Input_Tidshorisont,BlankTegn,IF(AV$2=0,SUM(Materialedata[[#This Row],[A1-A3/m²]:[A4/m²]]),
AU40+IF(AV$2=Input_Tidshorisont,SUM(Materialedata[[#This Row],[C3/m²]:[C4/m²]]),IF(MOD(AV$2,Materialedata[[#This Row],[Levetid]])=0,SUM(Materialedata[[#This Row],[A1-A3/m²]:[C4/m²]]),0))
))</f>
        <v>5.9701045045045049</v>
      </c>
      <c r="AW40" s="141">
        <f>IF(AW$2&gt;Input_Tidshorisont,BlankTegn,IF(AW$2=0,SUM(Materialedata[[#This Row],[A1-A3/m²]:[A4/m²]]),
AV40+IF(AW$2=Input_Tidshorisont,SUM(Materialedata[[#This Row],[C3/m²]:[C4/m²]]),IF(MOD(AW$2,Materialedata[[#This Row],[Levetid]])=0,SUM(Materialedata[[#This Row],[A1-A3/m²]:[C4/m²]]),0))
))</f>
        <v>5.9701045045045049</v>
      </c>
      <c r="AX40" s="141">
        <f>IF(AX$2&gt;Input_Tidshorisont,BlankTegn,IF(AX$2=0,SUM(Materialedata[[#This Row],[A1-A3/m²]:[A4/m²]]),
AW40+IF(AX$2=Input_Tidshorisont,SUM(Materialedata[[#This Row],[C3/m²]:[C4/m²]]),IF(MOD(AX$2,Materialedata[[#This Row],[Levetid]])=0,SUM(Materialedata[[#This Row],[A1-A3/m²]:[C4/m²]]),0))
))</f>
        <v>5.9701045045045049</v>
      </c>
      <c r="AY40" s="141">
        <f>IF(AY$2&gt;Input_Tidshorisont,BlankTegn,IF(AY$2=0,SUM(Materialedata[[#This Row],[A1-A3/m²]:[A4/m²]]),
AX40+IF(AY$2=Input_Tidshorisont,SUM(Materialedata[[#This Row],[C3/m²]:[C4/m²]]),IF(MOD(AY$2,Materialedata[[#This Row],[Levetid]])=0,SUM(Materialedata[[#This Row],[A1-A3/m²]:[C4/m²]]),0))
))</f>
        <v>5.9701045045045049</v>
      </c>
      <c r="AZ40" s="141">
        <f>IF(AZ$2&gt;Input_Tidshorisont,BlankTegn,IF(AZ$2=0,SUM(Materialedata[[#This Row],[A1-A3/m²]:[A4/m²]]),
AY40+IF(AZ$2=Input_Tidshorisont,SUM(Materialedata[[#This Row],[C3/m²]:[C4/m²]]),IF(MOD(AZ$2,Materialedata[[#This Row],[Levetid]])=0,SUM(Materialedata[[#This Row],[A1-A3/m²]:[C4/m²]]),0))
))</f>
        <v>5.9701045045045049</v>
      </c>
      <c r="BA40" s="141">
        <f>IF(BA$2&gt;Input_Tidshorisont,BlankTegn,IF(BA$2=0,SUM(Materialedata[[#This Row],[A1-A3/m²]:[A4/m²]]),
AZ40+IF(BA$2=Input_Tidshorisont,SUM(Materialedata[[#This Row],[C3/m²]:[C4/m²]]),IF(MOD(BA$2,Materialedata[[#This Row],[Levetid]])=0,SUM(Materialedata[[#This Row],[A1-A3/m²]:[C4/m²]]),0))
))</f>
        <v>5.9701045045045049</v>
      </c>
      <c r="BB40" s="141">
        <f>IF(BB$2&gt;Input_Tidshorisont,BlankTegn,IF(BB$2=0,SUM(Materialedata[[#This Row],[A1-A3/m²]:[A4/m²]]),
BA40+IF(BB$2=Input_Tidshorisont,SUM(Materialedata[[#This Row],[C3/m²]:[C4/m²]]),IF(MOD(BB$2,Materialedata[[#This Row],[Levetid]])=0,SUM(Materialedata[[#This Row],[A1-A3/m²]:[C4/m²]]),0))
))</f>
        <v>5.9701045045045049</v>
      </c>
      <c r="BC40" s="141">
        <f>IF(BC$2&gt;Input_Tidshorisont,BlankTegn,IF(BC$2=0,SUM(Materialedata[[#This Row],[A1-A3/m²]:[A4/m²]]),
BB40+IF(BC$2=Input_Tidshorisont,SUM(Materialedata[[#This Row],[C3/m²]:[C4/m²]]),IF(MOD(BC$2,Materialedata[[#This Row],[Levetid]])=0,SUM(Materialedata[[#This Row],[A1-A3/m²]:[C4/m²]]),0))
))</f>
        <v>5.9701045045045049</v>
      </c>
      <c r="BD40" s="141">
        <f>IF(BD$2&gt;Input_Tidshorisont,BlankTegn,IF(BD$2=0,SUM(Materialedata[[#This Row],[A1-A3/m²]:[A4/m²]]),
BC40+IF(BD$2=Input_Tidshorisont,SUM(Materialedata[[#This Row],[C3/m²]:[C4/m²]]),IF(MOD(BD$2,Materialedata[[#This Row],[Levetid]])=0,SUM(Materialedata[[#This Row],[A1-A3/m²]:[C4/m²]]),0))
))</f>
        <v>5.9701045045045049</v>
      </c>
      <c r="BE40" s="141">
        <f>IF(BE$2&gt;Input_Tidshorisont,BlankTegn,IF(BE$2=0,SUM(Materialedata[[#This Row],[A1-A3/m²]:[A4/m²]]),
BD40+IF(BE$2=Input_Tidshorisont,SUM(Materialedata[[#This Row],[C3/m²]:[C4/m²]]),IF(MOD(BE$2,Materialedata[[#This Row],[Levetid]])=0,SUM(Materialedata[[#This Row],[A1-A3/m²]:[C4/m²]]),0))
))</f>
        <v>5.9701045045045049</v>
      </c>
      <c r="BF40" s="141">
        <f>IF(BF$2&gt;Input_Tidshorisont,BlankTegn,IF(BF$2=0,SUM(Materialedata[[#This Row],[A1-A3/m²]:[A4/m²]]),
BE40+IF(BF$2=Input_Tidshorisont,SUM(Materialedata[[#This Row],[C3/m²]:[C4/m²]]),IF(MOD(BF$2,Materialedata[[#This Row],[Levetid]])=0,SUM(Materialedata[[#This Row],[A1-A3/m²]:[C4/m²]]),0))
))</f>
        <v>5.9701045045045049</v>
      </c>
      <c r="BG40" s="141">
        <f>IF(BG$2&gt;Input_Tidshorisont,BlankTegn,IF(BG$2=0,SUM(Materialedata[[#This Row],[A1-A3/m²]:[A4/m²]]),
BF40+IF(BG$2=Input_Tidshorisont,SUM(Materialedata[[#This Row],[C3/m²]:[C4/m²]]),IF(MOD(BG$2,Materialedata[[#This Row],[Levetid]])=0,SUM(Materialedata[[#This Row],[A1-A3/m²]:[C4/m²]]),0))
))</f>
        <v>5.9701045045045049</v>
      </c>
      <c r="BH40" s="141">
        <f>IF(BH$2&gt;Input_Tidshorisont,BlankTegn,IF(BH$2=0,SUM(Materialedata[[#This Row],[A1-A3/m²]:[A4/m²]]),
BG40+IF(BH$2=Input_Tidshorisont,SUM(Materialedata[[#This Row],[C3/m²]:[C4/m²]]),IF(MOD(BH$2,Materialedata[[#This Row],[Levetid]])=0,SUM(Materialedata[[#This Row],[A1-A3/m²]:[C4/m²]]),0))
))</f>
        <v>5.9701045045045049</v>
      </c>
      <c r="BI40" s="141">
        <f>IF(BI$2&gt;Input_Tidshorisont,BlankTegn,IF(BI$2=0,SUM(Materialedata[[#This Row],[A1-A3/m²]:[A4/m²]]),
BH40+IF(BI$2=Input_Tidshorisont,SUM(Materialedata[[#This Row],[C3/m²]:[C4/m²]]),IF(MOD(BI$2,Materialedata[[#This Row],[Levetid]])=0,SUM(Materialedata[[#This Row],[A1-A3/m²]:[C4/m²]]),0))
))</f>
        <v>5.9701045045045049</v>
      </c>
      <c r="BJ40" s="141">
        <f>IF(BJ$2&gt;Input_Tidshorisont,BlankTegn,IF(BJ$2=0,SUM(Materialedata[[#This Row],[A1-A3/m²]:[A4/m²]]),
BI40+IF(BJ$2=Input_Tidshorisont,SUM(Materialedata[[#This Row],[C3/m²]:[C4/m²]]),IF(MOD(BJ$2,Materialedata[[#This Row],[Levetid]])=0,SUM(Materialedata[[#This Row],[A1-A3/m²]:[C4/m²]]),0))
))</f>
        <v>5.9701045045045049</v>
      </c>
      <c r="BK40" s="141">
        <f>IF(BK$2&gt;Input_Tidshorisont,BlankTegn,IF(BK$2=0,SUM(Materialedata[[#This Row],[A1-A3/m²]:[A4/m²]]),
BJ40+IF(BK$2=Input_Tidshorisont,SUM(Materialedata[[#This Row],[C3/m²]:[C4/m²]]),IF(MOD(BK$2,Materialedata[[#This Row],[Levetid]])=0,SUM(Materialedata[[#This Row],[A1-A3/m²]:[C4/m²]]),0))
))</f>
        <v>5.9701045045045049</v>
      </c>
      <c r="BL40" s="141">
        <f>IF(BL$2&gt;Input_Tidshorisont,BlankTegn,IF(BL$2=0,SUM(Materialedata[[#This Row],[A1-A3/m²]:[A4/m²]]),
BK40+IF(BL$2=Input_Tidshorisont,SUM(Materialedata[[#This Row],[C3/m²]:[C4/m²]]),IF(MOD(BL$2,Materialedata[[#This Row],[Levetid]])=0,SUM(Materialedata[[#This Row],[A1-A3/m²]:[C4/m²]]),0))
))</f>
        <v>5.9701045045045049</v>
      </c>
      <c r="BM40" s="141">
        <f>IF(BM$2&gt;Input_Tidshorisont,BlankTegn,IF(BM$2=0,SUM(Materialedata[[#This Row],[A1-A3/m²]:[A4/m²]]),
BL40+IF(BM$2=Input_Tidshorisont,SUM(Materialedata[[#This Row],[C3/m²]:[C4/m²]]),IF(MOD(BM$2,Materialedata[[#This Row],[Levetid]])=0,SUM(Materialedata[[#This Row],[A1-A3/m²]:[C4/m²]]),0))
))</f>
        <v>5.9701045045045049</v>
      </c>
      <c r="BN40" s="141">
        <f>IF(BN$2&gt;Input_Tidshorisont,BlankTegn,IF(BN$2=0,SUM(Materialedata[[#This Row],[A1-A3/m²]:[A4/m²]]),
BM40+IF(BN$2=Input_Tidshorisont,SUM(Materialedata[[#This Row],[C3/m²]:[C4/m²]]),IF(MOD(BN$2,Materialedata[[#This Row],[Levetid]])=0,SUM(Materialedata[[#This Row],[A1-A3/m²]:[C4/m²]]),0))
))</f>
        <v>5.9701045045045049</v>
      </c>
      <c r="BO40" s="141">
        <f>IF(BO$2&gt;Input_Tidshorisont,BlankTegn,IF(BO$2=0,SUM(Materialedata[[#This Row],[A1-A3/m²]:[A4/m²]]),
BN40+IF(BO$2=Input_Tidshorisont,SUM(Materialedata[[#This Row],[C3/m²]:[C4/m²]]),IF(MOD(BO$2,Materialedata[[#This Row],[Levetid]])=0,SUM(Materialedata[[#This Row],[A1-A3/m²]:[C4/m²]]),0))
))</f>
        <v>5.9701045045045049</v>
      </c>
      <c r="BP40" s="141">
        <f>IF(BP$2&gt;Input_Tidshorisont,BlankTegn,IF(BP$2=0,SUM(Materialedata[[#This Row],[A1-A3/m²]:[A4/m²]]),
BO40+IF(BP$2=Input_Tidshorisont,SUM(Materialedata[[#This Row],[C3/m²]:[C4/m²]]),IF(MOD(BP$2,Materialedata[[#This Row],[Levetid]])=0,SUM(Materialedata[[#This Row],[A1-A3/m²]:[C4/m²]]),0))
))</f>
        <v>5.9701045045045049</v>
      </c>
      <c r="BQ40" s="141">
        <f>IF(BQ$2&gt;Input_Tidshorisont,BlankTegn,IF(BQ$2=0,SUM(Materialedata[[#This Row],[A1-A3/m²]:[A4/m²]]),
BP40+IF(BQ$2=Input_Tidshorisont,SUM(Materialedata[[#This Row],[C3/m²]:[C4/m²]]),IF(MOD(BQ$2,Materialedata[[#This Row],[Levetid]])=0,SUM(Materialedata[[#This Row],[A1-A3/m²]:[C4/m²]]),0))
))</f>
        <v>5.9701045045045049</v>
      </c>
      <c r="BR40" s="141">
        <f>IF(BR$2&gt;Input_Tidshorisont,BlankTegn,IF(BR$2=0,SUM(Materialedata[[#This Row],[A1-A3/m²]:[A4/m²]]),
BQ40+IF(BR$2=Input_Tidshorisont,SUM(Materialedata[[#This Row],[C3/m²]:[C4/m²]]),IF(MOD(BR$2,Materialedata[[#This Row],[Levetid]])=0,SUM(Materialedata[[#This Row],[A1-A3/m²]:[C4/m²]]),0))
))</f>
        <v>5.9701045045045049</v>
      </c>
      <c r="BS40" s="141">
        <f>IF(BS$2&gt;Input_Tidshorisont,BlankTegn,IF(BS$2=0,SUM(Materialedata[[#This Row],[A1-A3/m²]:[A4/m²]]),
BR40+IF(BS$2=Input_Tidshorisont,SUM(Materialedata[[#This Row],[C3/m²]:[C4/m²]]),IF(MOD(BS$2,Materialedata[[#This Row],[Levetid]])=0,SUM(Materialedata[[#This Row],[A1-A3/m²]:[C4/m²]]),0))
))</f>
        <v>5.9701045045045049</v>
      </c>
      <c r="BT40" s="141">
        <f>IF(BT$2&gt;Input_Tidshorisont,BlankTegn,IF(BT$2=0,SUM(Materialedata[[#This Row],[A1-A3/m²]:[A4/m²]]),
BS40+IF(BT$2=Input_Tidshorisont,SUM(Materialedata[[#This Row],[C3/m²]:[C4/m²]]),IF(MOD(BT$2,Materialedata[[#This Row],[Levetid]])=0,SUM(Materialedata[[#This Row],[A1-A3/m²]:[C4/m²]]),0))
))</f>
        <v>5.9701045045045049</v>
      </c>
      <c r="BU40" s="141">
        <f>IF(BU$2&gt;Input_Tidshorisont,BlankTegn,IF(BU$2=0,SUM(Materialedata[[#This Row],[A1-A3/m²]:[A4/m²]]),
BT40+IF(BU$2=Input_Tidshorisont,SUM(Materialedata[[#This Row],[C3/m²]:[C4/m²]]),IF(MOD(BU$2,Materialedata[[#This Row],[Levetid]])=0,SUM(Materialedata[[#This Row],[A1-A3/m²]:[C4/m²]]),0))
))</f>
        <v>5.9701045045045049</v>
      </c>
      <c r="BV40" s="141">
        <f>IF(BV$2&gt;Input_Tidshorisont,BlankTegn,IF(BV$2=0,SUM(Materialedata[[#This Row],[A1-A3/m²]:[A4/m²]]),
BU40+IF(BV$2=Input_Tidshorisont,SUM(Materialedata[[#This Row],[C3/m²]:[C4/m²]]),IF(MOD(BV$2,Materialedata[[#This Row],[Levetid]])=0,SUM(Materialedata[[#This Row],[A1-A3/m²]:[C4/m²]]),0))
))</f>
        <v>5.9701045045045049</v>
      </c>
      <c r="BW40" s="141">
        <f>IF(BW$2&gt;Input_Tidshorisont,BlankTegn,IF(BW$2=0,SUM(Materialedata[[#This Row],[A1-A3/m²]:[A4/m²]]),
BV40+IF(BW$2=Input_Tidshorisont,SUM(Materialedata[[#This Row],[C3/m²]:[C4/m²]]),IF(MOD(BW$2,Materialedata[[#This Row],[Levetid]])=0,SUM(Materialedata[[#This Row],[A1-A3/m²]:[C4/m²]]),0))
))</f>
        <v>5.9701045045045049</v>
      </c>
      <c r="BX40" s="141">
        <f>IF(BX$2&gt;Input_Tidshorisont,BlankTegn,IF(BX$2=0,SUM(Materialedata[[#This Row],[A1-A3/m²]:[A4/m²]]),
BW40+IF(BX$2=Input_Tidshorisont,SUM(Materialedata[[#This Row],[C3/m²]:[C4/m²]]),IF(MOD(BX$2,Materialedata[[#This Row],[Levetid]])=0,SUM(Materialedata[[#This Row],[A1-A3/m²]:[C4/m²]]),0))
))</f>
        <v>5.9701045045045049</v>
      </c>
      <c r="BY40" s="141">
        <f>IF(BY$2&gt;Input_Tidshorisont,BlankTegn,IF(BY$2=0,SUM(Materialedata[[#This Row],[A1-A3/m²]:[A4/m²]]),
BX40+IF(BY$2=Input_Tidshorisont,SUM(Materialedata[[#This Row],[C3/m²]:[C4/m²]]),IF(MOD(BY$2,Materialedata[[#This Row],[Levetid]])=0,SUM(Materialedata[[#This Row],[A1-A3/m²]:[C4/m²]]),0))
))</f>
        <v>5.9701045045045049</v>
      </c>
      <c r="BZ40" s="141">
        <f>IF(BZ$2&gt;Input_Tidshorisont,BlankTegn,IF(BZ$2=0,SUM(Materialedata[[#This Row],[A1-A3/m²]:[A4/m²]]),
BY40+IF(BZ$2=Input_Tidshorisont,SUM(Materialedata[[#This Row],[C3/m²]:[C4/m²]]),IF(MOD(BZ$2,Materialedata[[#This Row],[Levetid]])=0,SUM(Materialedata[[#This Row],[A1-A3/m²]:[C4/m²]]),0))
))</f>
        <v>5.9701045045045049</v>
      </c>
      <c r="CA40" s="141">
        <f>IF(CA$2&gt;Input_Tidshorisont,BlankTegn,IF(CA$2=0,SUM(Materialedata[[#This Row],[A1-A3/m²]:[A4/m²]]),
BZ40+IF(CA$2=Input_Tidshorisont,SUM(Materialedata[[#This Row],[C3/m²]:[C4/m²]]),IF(MOD(CA$2,Materialedata[[#This Row],[Levetid]])=0,SUM(Materialedata[[#This Row],[A1-A3/m²]:[C4/m²]]),0))
))</f>
        <v>5.9701045045045049</v>
      </c>
      <c r="CB40" s="141">
        <f>IF(CB$2&gt;Input_Tidshorisont,BlankTegn,IF(CB$2=0,SUM(Materialedata[[#This Row],[A1-A3/m²]:[A4/m²]]),
CA40+IF(CB$2=Input_Tidshorisont,SUM(Materialedata[[#This Row],[C3/m²]:[C4/m²]]),IF(MOD(CB$2,Materialedata[[#This Row],[Levetid]])=0,SUM(Materialedata[[#This Row],[A1-A3/m²]:[C4/m²]]),0))
))</f>
        <v>5.9701045045045049</v>
      </c>
      <c r="CC40" s="141">
        <f>IF(CC$2&gt;Input_Tidshorisont,BlankTegn,IF(CC$2=0,SUM(Materialedata[[#This Row],[A1-A3/m²]:[A4/m²]]),
CB40+IF(CC$2=Input_Tidshorisont,SUM(Materialedata[[#This Row],[C3/m²]:[C4/m²]]),IF(MOD(CC$2,Materialedata[[#This Row],[Levetid]])=0,SUM(Materialedata[[#This Row],[A1-A3/m²]:[C4/m²]]),0))
))</f>
        <v>5.9701045045045049</v>
      </c>
      <c r="CD40" s="141">
        <f>IF(CD$2&gt;Input_Tidshorisont,BlankTegn,IF(CD$2=0,SUM(Materialedata[[#This Row],[A1-A3/m²]:[A4/m²]]),
CC40+IF(CD$2=Input_Tidshorisont,SUM(Materialedata[[#This Row],[C3/m²]:[C4/m²]]),IF(MOD(CD$2,Materialedata[[#This Row],[Levetid]])=0,SUM(Materialedata[[#This Row],[A1-A3/m²]:[C4/m²]]),0))
))</f>
        <v>5.9701045045045049</v>
      </c>
      <c r="CE40" s="141">
        <f>IF(CE$2&gt;Input_Tidshorisont,BlankTegn,IF(CE$2=0,SUM(Materialedata[[#This Row],[A1-A3/m²]:[A4/m²]]),
CD40+IF(CE$2=Input_Tidshorisont,SUM(Materialedata[[#This Row],[C3/m²]:[C4/m²]]),IF(MOD(CE$2,Materialedata[[#This Row],[Levetid]])=0,SUM(Materialedata[[#This Row],[A1-A3/m²]:[C4/m²]]),0))
))</f>
        <v>5.9701045045045049</v>
      </c>
      <c r="CF40" s="141">
        <f>IF(CF$2&gt;Input_Tidshorisont,BlankTegn,IF(CF$2=0,SUM(Materialedata[[#This Row],[A1-A3/m²]:[A4/m²]]),
CE40+IF(CF$2=Input_Tidshorisont,SUM(Materialedata[[#This Row],[C3/m²]:[C4/m²]]),IF(MOD(CF$2,Materialedata[[#This Row],[Levetid]])=0,SUM(Materialedata[[#This Row],[A1-A3/m²]:[C4/m²]]),0))
))</f>
        <v>5.9701045045045049</v>
      </c>
      <c r="CG40" s="141">
        <f>IF(CG$2&gt;Input_Tidshorisont,BlankTegn,IF(CG$2=0,SUM(Materialedata[[#This Row],[A1-A3/m²]:[A4/m²]]),
CF40+IF(CG$2=Input_Tidshorisont,SUM(Materialedata[[#This Row],[C3/m²]:[C4/m²]]),IF(MOD(CG$2,Materialedata[[#This Row],[Levetid]])=0,SUM(Materialedata[[#This Row],[A1-A3/m²]:[C4/m²]]),0))
))</f>
        <v>5.9701045045045049</v>
      </c>
      <c r="CH40" s="141">
        <f>IF(CH$2&gt;Input_Tidshorisont,BlankTegn,IF(CH$2=0,SUM(Materialedata[[#This Row],[A1-A3/m²]:[A4/m²]]),
CG40+IF(CH$2=Input_Tidshorisont,SUM(Materialedata[[#This Row],[C3/m²]:[C4/m²]]),IF(MOD(CH$2,Materialedata[[#This Row],[Levetid]])=0,SUM(Materialedata[[#This Row],[A1-A3/m²]:[C4/m²]]),0))
))</f>
        <v>5.9776253693693695</v>
      </c>
      <c r="CI40" s="141" t="str">
        <f>IF(CI$2&gt;Input_Tidshorisont,BlankTegn,IF(CI$2=0,SUM(Materialedata[[#This Row],[A1-A3/m²]:[A4/m²]]),
CH40+IF(CI$2=Input_Tidshorisont,SUM(Materialedata[[#This Row],[C3/m²]:[C4/m²]]),IF(MOD(CI$2,Materialedata[[#This Row],[Levetid]])=0,SUM(Materialedata[[#This Row],[A1-A3/m²]:[C4/m²]]),0))
))</f>
        <v>.</v>
      </c>
      <c r="CJ40" s="141" t="str">
        <f>IF(CJ$2&gt;Input_Tidshorisont,BlankTegn,IF(CJ$2=0,SUM(Materialedata[[#This Row],[A1-A3/m²]:[A4/m²]]),
CI40+IF(CJ$2=Input_Tidshorisont,SUM(Materialedata[[#This Row],[C3/m²]:[C4/m²]]),IF(MOD(CJ$2,Materialedata[[#This Row],[Levetid]])=0,SUM(Materialedata[[#This Row],[A1-A3/m²]:[C4/m²]]),0))
))</f>
        <v>.</v>
      </c>
      <c r="CK40" s="141" t="str">
        <f>IF(CK$2&gt;Input_Tidshorisont,BlankTegn,IF(CK$2=0,SUM(Materialedata[[#This Row],[A1-A3/m²]:[A4/m²]]),
CJ40+IF(CK$2=Input_Tidshorisont,SUM(Materialedata[[#This Row],[C3/m²]:[C4/m²]]),IF(MOD(CK$2,Materialedata[[#This Row],[Levetid]])=0,SUM(Materialedata[[#This Row],[A1-A3/m²]:[C4/m²]]),0))
))</f>
        <v>.</v>
      </c>
      <c r="CL40" s="141" t="str">
        <f>IF(CL$2&gt;Input_Tidshorisont,BlankTegn,IF(CL$2=0,SUM(Materialedata[[#This Row],[A1-A3/m²]:[A4/m²]]),
CK40+IF(CL$2=Input_Tidshorisont,SUM(Materialedata[[#This Row],[C3/m²]:[C4/m²]]),IF(MOD(CL$2,Materialedata[[#This Row],[Levetid]])=0,SUM(Materialedata[[#This Row],[A1-A3/m²]:[C4/m²]]),0))
))</f>
        <v>.</v>
      </c>
      <c r="CM40" s="141" t="str">
        <f>IF(CM$2&gt;Input_Tidshorisont,BlankTegn,IF(CM$2=0,SUM(Materialedata[[#This Row],[A1-A3/m²]:[A4/m²]]),
CL40+IF(CM$2=Input_Tidshorisont,SUM(Materialedata[[#This Row],[C3/m²]:[C4/m²]]),IF(MOD(CM$2,Materialedata[[#This Row],[Levetid]])=0,SUM(Materialedata[[#This Row],[A1-A3/m²]:[C4/m²]]),0))
))</f>
        <v>.</v>
      </c>
      <c r="CN40" s="141" t="str">
        <f>IF(CN$2&gt;Input_Tidshorisont,BlankTegn,IF(CN$2=0,SUM(Materialedata[[#This Row],[A1-A3/m²]:[A4/m²]]),
CM40+IF(CN$2=Input_Tidshorisont,SUM(Materialedata[[#This Row],[C3/m²]:[C4/m²]]),IF(MOD(CN$2,Materialedata[[#This Row],[Levetid]])=0,SUM(Materialedata[[#This Row],[A1-A3/m²]:[C4/m²]]),0))
))</f>
        <v>.</v>
      </c>
      <c r="CO40" s="141" t="str">
        <f>IF(CO$2&gt;Input_Tidshorisont,BlankTegn,IF(CO$2=0,SUM(Materialedata[[#This Row],[A1-A3/m²]:[A4/m²]]),
CN40+IF(CO$2=Input_Tidshorisont,SUM(Materialedata[[#This Row],[C3/m²]:[C4/m²]]),IF(MOD(CO$2,Materialedata[[#This Row],[Levetid]])=0,SUM(Materialedata[[#This Row],[A1-A3/m²]:[C4/m²]]),0))
))</f>
        <v>.</v>
      </c>
      <c r="CP40" s="141" t="str">
        <f>IF(CP$2&gt;Input_Tidshorisont,BlankTegn,IF(CP$2=0,SUM(Materialedata[[#This Row],[A1-A3/m²]:[A4/m²]]),
CO40+IF(CP$2=Input_Tidshorisont,SUM(Materialedata[[#This Row],[C3/m²]:[C4/m²]]),IF(MOD(CP$2,Materialedata[[#This Row],[Levetid]])=0,SUM(Materialedata[[#This Row],[A1-A3/m²]:[C4/m²]]),0))
))</f>
        <v>.</v>
      </c>
      <c r="CQ40" s="141" t="str">
        <f>IF(CQ$2&gt;Input_Tidshorisont,BlankTegn,IF(CQ$2=0,SUM(Materialedata[[#This Row],[A1-A3/m²]:[A4/m²]]),
CP40+IF(CQ$2=Input_Tidshorisont,SUM(Materialedata[[#This Row],[C3/m²]:[C4/m²]]),IF(MOD(CQ$2,Materialedata[[#This Row],[Levetid]])=0,SUM(Materialedata[[#This Row],[A1-A3/m²]:[C4/m²]]),0))
))</f>
        <v>.</v>
      </c>
      <c r="CR40" s="141" t="str">
        <f>IF(CR$2&gt;Input_Tidshorisont,BlankTegn,IF(CR$2=0,SUM(Materialedata[[#This Row],[A1-A3/m²]:[A4/m²]]),
CQ40+IF(CR$2=Input_Tidshorisont,SUM(Materialedata[[#This Row],[C3/m²]:[C4/m²]]),IF(MOD(CR$2,Materialedata[[#This Row],[Levetid]])=0,SUM(Materialedata[[#This Row],[A1-A3/m²]:[C4/m²]]),0))
))</f>
        <v>.</v>
      </c>
      <c r="CS40" s="141" t="str">
        <f>IF(CS$2&gt;Input_Tidshorisont,BlankTegn,IF(CS$2=0,SUM(Materialedata[[#This Row],[A1-A3/m²]:[A4/m²]]),
CR40+IF(CS$2=Input_Tidshorisont,SUM(Materialedata[[#This Row],[C3/m²]:[C4/m²]]),IF(MOD(CS$2,Materialedata[[#This Row],[Levetid]])=0,SUM(Materialedata[[#This Row],[A1-A3/m²]:[C4/m²]]),0))
))</f>
        <v>.</v>
      </c>
      <c r="CT40" s="141" t="str">
        <f>IF(CT$2&gt;Input_Tidshorisont,BlankTegn,IF(CT$2=0,SUM(Materialedata[[#This Row],[A1-A3/m²]:[A4/m²]]),
CS40+IF(CT$2=Input_Tidshorisont,SUM(Materialedata[[#This Row],[C3/m²]:[C4/m²]]),IF(MOD(CT$2,Materialedata[[#This Row],[Levetid]])=0,SUM(Materialedata[[#This Row],[A1-A3/m²]:[C4/m²]]),0))
))</f>
        <v>.</v>
      </c>
      <c r="CU40" s="141" t="str">
        <f>IF(CU$2&gt;Input_Tidshorisont,BlankTegn,IF(CU$2=0,SUM(Materialedata[[#This Row],[A1-A3/m²]:[A4/m²]]),
CT40+IF(CU$2=Input_Tidshorisont,SUM(Materialedata[[#This Row],[C3/m²]:[C4/m²]]),IF(MOD(CU$2,Materialedata[[#This Row],[Levetid]])=0,SUM(Materialedata[[#This Row],[A1-A3/m²]:[C4/m²]]),0))
))</f>
        <v>.</v>
      </c>
      <c r="CV40" s="141" t="str">
        <f>IF(CV$2&gt;Input_Tidshorisont,BlankTegn,IF(CV$2=0,SUM(Materialedata[[#This Row],[A1-A3/m²]:[A4/m²]]),
CU40+IF(CV$2=Input_Tidshorisont,SUM(Materialedata[[#This Row],[C3/m²]:[C4/m²]]),IF(MOD(CV$2,Materialedata[[#This Row],[Levetid]])=0,SUM(Materialedata[[#This Row],[A1-A3/m²]:[C4/m²]]),0))
))</f>
        <v>.</v>
      </c>
      <c r="CW40" s="141" t="str">
        <f>IF(CW$2&gt;Input_Tidshorisont,BlankTegn,IF(CW$2=0,SUM(Materialedata[[#This Row],[A1-A3/m²]:[A4/m²]]),
CV40+IF(CW$2=Input_Tidshorisont,SUM(Materialedata[[#This Row],[C3/m²]:[C4/m²]]),IF(MOD(CW$2,Materialedata[[#This Row],[Levetid]])=0,SUM(Materialedata[[#This Row],[A1-A3/m²]:[C4/m²]]),0))
))</f>
        <v>.</v>
      </c>
      <c r="CX40" s="141" t="str">
        <f>IF(CX$2&gt;Input_Tidshorisont,BlankTegn,IF(CX$2=0,SUM(Materialedata[[#This Row],[A1-A3/m²]:[A4/m²]]),
CW40+IF(CX$2=Input_Tidshorisont,SUM(Materialedata[[#This Row],[C3/m²]:[C4/m²]]),IF(MOD(CX$2,Materialedata[[#This Row],[Levetid]])=0,SUM(Materialedata[[#This Row],[A1-A3/m²]:[C4/m²]]),0))
))</f>
        <v>.</v>
      </c>
      <c r="CY40" s="141" t="str">
        <f>IF(CY$2&gt;Input_Tidshorisont,BlankTegn,IF(CY$2=0,SUM(Materialedata[[#This Row],[A1-A3/m²]:[A4/m²]]),
CX40+IF(CY$2=Input_Tidshorisont,SUM(Materialedata[[#This Row],[C3/m²]:[C4/m²]]),IF(MOD(CY$2,Materialedata[[#This Row],[Levetid]])=0,SUM(Materialedata[[#This Row],[A1-A3/m²]:[C4/m²]]),0))
))</f>
        <v>.</v>
      </c>
      <c r="CZ40" s="141" t="str">
        <f>IF(CZ$2&gt;Input_Tidshorisont,BlankTegn,IF(CZ$2=0,SUM(Materialedata[[#This Row],[A1-A3/m²]:[A4/m²]]),
CY40+IF(CZ$2=Input_Tidshorisont,SUM(Materialedata[[#This Row],[C3/m²]:[C4/m²]]),IF(MOD(CZ$2,Materialedata[[#This Row],[Levetid]])=0,SUM(Materialedata[[#This Row],[A1-A3/m²]:[C4/m²]]),0))
))</f>
        <v>.</v>
      </c>
      <c r="DA40" s="141" t="str">
        <f>IF(DA$2&gt;Input_Tidshorisont,BlankTegn,IF(DA$2=0,SUM(Materialedata[[#This Row],[A1-A3/m²]:[A4/m²]]),
CZ40+IF(DA$2=Input_Tidshorisont,SUM(Materialedata[[#This Row],[C3/m²]:[C4/m²]]),IF(MOD(DA$2,Materialedata[[#This Row],[Levetid]])=0,SUM(Materialedata[[#This Row],[A1-A3/m²]:[C4/m²]]),0))
))</f>
        <v>.</v>
      </c>
      <c r="DB40" s="141" t="str">
        <f>IF(DB$2&gt;Input_Tidshorisont,BlankTegn,IF(DB$2=0,SUM(Materialedata[[#This Row],[A1-A3/m²]:[A4/m²]]),
DA40+IF(DB$2=Input_Tidshorisont,SUM(Materialedata[[#This Row],[C3/m²]:[C4/m²]]),IF(MOD(DB$2,Materialedata[[#This Row],[Levetid]])=0,SUM(Materialedata[[#This Row],[A1-A3/m²]:[C4/m²]]),0))
))</f>
        <v>.</v>
      </c>
      <c r="DC40" s="141" t="str">
        <f>IF(DC$2&gt;Input_Tidshorisont,BlankTegn,IF(DC$2=0,SUM(Materialedata[[#This Row],[A1-A3/m²]:[A4/m²]]),
DB40+IF(DC$2=Input_Tidshorisont,SUM(Materialedata[[#This Row],[C3/m²]:[C4/m²]]),IF(MOD(DC$2,Materialedata[[#This Row],[Levetid]])=0,SUM(Materialedata[[#This Row],[A1-A3/m²]:[C4/m²]]),0))
))</f>
        <v>.</v>
      </c>
      <c r="DD40" s="141" t="str">
        <f>IF(DD$2&gt;Input_Tidshorisont,BlankTegn,IF(DD$2=0,SUM(Materialedata[[#This Row],[A1-A3/m²]:[A4/m²]]),
DC40+IF(DD$2=Input_Tidshorisont,SUM(Materialedata[[#This Row],[C3/m²]:[C4/m²]]),IF(MOD(DD$2,Materialedata[[#This Row],[Levetid]])=0,SUM(Materialedata[[#This Row],[A1-A3/m²]:[C4/m²]]),0))
))</f>
        <v>.</v>
      </c>
      <c r="DE40" s="141" t="str">
        <f>IF(DE$2&gt;Input_Tidshorisont,BlankTegn,IF(DE$2=0,SUM(Materialedata[[#This Row],[A1-A3/m²]:[A4/m²]]),
DD40+IF(DE$2=Input_Tidshorisont,SUM(Materialedata[[#This Row],[C3/m²]:[C4/m²]]),IF(MOD(DE$2,Materialedata[[#This Row],[Levetid]])=0,SUM(Materialedata[[#This Row],[A1-A3/m²]:[C4/m²]]),0))
))</f>
        <v>.</v>
      </c>
      <c r="DF40" s="141" t="str">
        <f>IF(DF$2&gt;Input_Tidshorisont,BlankTegn,IF(DF$2=0,SUM(Materialedata[[#This Row],[A1-A3/m²]:[A4/m²]]),
DE40+IF(DF$2=Input_Tidshorisont,SUM(Materialedata[[#This Row],[C3/m²]:[C4/m²]]),IF(MOD(DF$2,Materialedata[[#This Row],[Levetid]])=0,SUM(Materialedata[[#This Row],[A1-A3/m²]:[C4/m²]]),0))
))</f>
        <v>.</v>
      </c>
      <c r="DG40" s="141" t="str">
        <f>IF(DG$2&gt;Input_Tidshorisont,BlankTegn,IF(DG$2=0,SUM(Materialedata[[#This Row],[A1-A3/m²]:[A4/m²]]),
DF40+IF(DG$2=Input_Tidshorisont,SUM(Materialedata[[#This Row],[C3/m²]:[C4/m²]]),IF(MOD(DG$2,Materialedata[[#This Row],[Levetid]])=0,SUM(Materialedata[[#This Row],[A1-A3/m²]:[C4/m²]]),0))
))</f>
        <v>.</v>
      </c>
      <c r="DH40" s="141" t="str">
        <f>IF(DH$2&gt;Input_Tidshorisont,BlankTegn,IF(DH$2=0,SUM(Materialedata[[#This Row],[A1-A3/m²]:[A4/m²]]),
DG40+IF(DH$2=Input_Tidshorisont,SUM(Materialedata[[#This Row],[C3/m²]:[C4/m²]]),IF(MOD(DH$2,Materialedata[[#This Row],[Levetid]])=0,SUM(Materialedata[[#This Row],[A1-A3/m²]:[C4/m²]]),0))
))</f>
        <v>.</v>
      </c>
      <c r="DI40" s="141" t="str">
        <f>IF(DI$2&gt;Input_Tidshorisont,BlankTegn,IF(DI$2=0,SUM(Materialedata[[#This Row],[A1-A3/m²]:[A4/m²]]),
DH40+IF(DI$2=Input_Tidshorisont,SUM(Materialedata[[#This Row],[C3/m²]:[C4/m²]]),IF(MOD(DI$2,Materialedata[[#This Row],[Levetid]])=0,SUM(Materialedata[[#This Row],[A1-A3/m²]:[C4/m²]]),0))
))</f>
        <v>.</v>
      </c>
      <c r="DJ40" s="141" t="str">
        <f>IF(DJ$2&gt;Input_Tidshorisont,BlankTegn,IF(DJ$2=0,SUM(Materialedata[[#This Row],[A1-A3/m²]:[A4/m²]]),
DI40+IF(DJ$2=Input_Tidshorisont,SUM(Materialedata[[#This Row],[C3/m²]:[C4/m²]]),IF(MOD(DJ$2,Materialedata[[#This Row],[Levetid]])=0,SUM(Materialedata[[#This Row],[A1-A3/m²]:[C4/m²]]),0))
))</f>
        <v>.</v>
      </c>
      <c r="DK40" s="141" t="str">
        <f>IF(DK$2&gt;Input_Tidshorisont,BlankTegn,IF(DK$2=0,SUM(Materialedata[[#This Row],[A1-A3/m²]:[A4/m²]]),
DJ40+IF(DK$2=Input_Tidshorisont,SUM(Materialedata[[#This Row],[C3/m²]:[C4/m²]]),IF(MOD(DK$2,Materialedata[[#This Row],[Levetid]])=0,SUM(Materialedata[[#This Row],[A1-A3/m²]:[C4/m²]]),0))
))</f>
        <v>.</v>
      </c>
      <c r="DL40" s="141" t="str">
        <f>IF(DL$2&gt;Input_Tidshorisont,BlankTegn,IF(DL$2=0,SUM(Materialedata[[#This Row],[A1-A3/m²]:[A4/m²]]),
DK40+IF(DL$2=Input_Tidshorisont,SUM(Materialedata[[#This Row],[C3/m²]:[C4/m²]]),IF(MOD(DL$2,Materialedata[[#This Row],[Levetid]])=0,SUM(Materialedata[[#This Row],[A1-A3/m²]:[C4/m²]]),0))
))</f>
        <v>.</v>
      </c>
      <c r="DM40" s="19"/>
    </row>
    <row r="41" spans="1:117">
      <c r="A41" s="182" t="s">
        <v>36</v>
      </c>
      <c r="B41" s="182" t="s">
        <v>178</v>
      </c>
      <c r="C41" s="148" t="s">
        <v>131</v>
      </c>
      <c r="D41" s="149" t="s">
        <v>270</v>
      </c>
      <c r="E41" s="180" t="s">
        <v>179</v>
      </c>
      <c r="F41" s="182" t="s">
        <v>134</v>
      </c>
      <c r="G41" s="182">
        <v>60</v>
      </c>
      <c r="H41" s="183">
        <v>255</v>
      </c>
      <c r="I41" s="184">
        <v>1.2E-2</v>
      </c>
      <c r="J41" s="184" t="s">
        <v>232</v>
      </c>
      <c r="K41" s="182">
        <v>0.187</v>
      </c>
      <c r="L41" s="182" t="s">
        <v>207</v>
      </c>
      <c r="M41" s="185">
        <f>IF(ISBLANK(Materialedata[[#This Row],[A4-gruppe]]),BlankTegn,INDEX(Byggeproces[GWP],MATCH(Materialedata[[#This Row],[A4-gruppe]],Byggeproces[Gruppe/Undergruppe],0)))</f>
        <v>4.9099999999999998E-2</v>
      </c>
      <c r="N41" s="182">
        <v>0.33200000000000002</v>
      </c>
      <c r="O41" s="182">
        <v>4.5399999999999998E-4</v>
      </c>
      <c r="P41" s="182">
        <v>-0.123</v>
      </c>
      <c r="Q41" s="277">
        <f>Materialedata[[#This Row],[A1-A3/standardenhed]]*Materialedata[[#This Row],[Densitet]]*Materialedata[[#This Row],[Mængde/m²]]</f>
        <v>0.57222000000000006</v>
      </c>
      <c r="R41" s="278" cm="1">
        <f t="array" ref="R41">IFERROR(_xlfn.IFS(Materialedata[[#This Row],[Mængde-enhed]]="kg/m²",Materialedata[[#This Row],[A4/kg]]*Materialedata[[#This Row],[Mængde/m²]],Materialedata[[#This Row],[Mængde-enhed]]="m³/m²",Materialedata[[#This Row],[A4/kg]]*Materialedata[[#This Row],[Mængde/m²]]*Materialedata[[#This Row],[Densitet]]),"N/A")</f>
        <v>0.15024599999999999</v>
      </c>
      <c r="S41" s="277">
        <f>Materialedata[[#This Row],[C3/enhed]]*Materialedata[[#This Row],[Mængde/m²]]*Materialedata[[#This Row],[Densitet]]</f>
        <v>1.0159200000000002</v>
      </c>
      <c r="T41" s="277">
        <f>Materialedata[[#This Row],[C4/enhed]]*Materialedata[[#This Row],[Mængde/m²]]*Materialedata[[#This Row],[Densitet]]</f>
        <v>1.3892400000000001E-3</v>
      </c>
      <c r="U41" s="277">
        <f>Materialedata[[#This Row],[D/enhed]]*Materialedata[[#This Row],[Mængde/m²]]*Materialedata[[#This Row],[Densitet]]</f>
        <v>-0.37638000000000005</v>
      </c>
      <c r="V41" s="150">
        <f>IFERROR(INDEX(Range_Materiale_Genbrug,MATCH(Materialedata[[#This Row],[Komponent]],Facadekomponenter,0)),BlankTegn)</f>
        <v>0</v>
      </c>
      <c r="W41" s="150">
        <f>IFERROR(1-Materialedata[[#This Row],[Genbrug]],BlankTegn)</f>
        <v>1</v>
      </c>
      <c r="X41" s="186">
        <f>IFERROR(Materialedata[[#This Row],[A1-A3/m²_nyt]]*Materialedata[[#This Row],[Nyt]],BlankTegn)</f>
        <v>0.57222000000000006</v>
      </c>
      <c r="Y41" s="186">
        <f>Materialedata[[#This Row],[A4/m²_nyt]]</f>
        <v>0.15024599999999999</v>
      </c>
      <c r="Z41" s="186">
        <f>IFERROR(Materialedata[[#This Row],[C3/m²_nyt]]*Materialedata[[#This Row],[Nyt]],BlankTegn)</f>
        <v>1.0159200000000002</v>
      </c>
      <c r="AA41" s="186">
        <f>IFERROR(Materialedata[[#This Row],[C4/m²_nyt]]*Materialedata[[#This Row],[Nyt]],BlankTegn)</f>
        <v>1.3892400000000001E-3</v>
      </c>
      <c r="AB41" s="186">
        <f>IFERROR(Materialedata[[#This Row],[D/m²_nyt]]*Materialedata[[#This Row],[Nyt]],BlankTegn)</f>
        <v>-0.37638000000000005</v>
      </c>
      <c r="AC41" s="187">
        <v>322.32180059390089</v>
      </c>
      <c r="AD41" s="188" t="s">
        <v>29</v>
      </c>
      <c r="AE41" s="182">
        <v>1</v>
      </c>
      <c r="AF41" s="189">
        <f>Materialedata[[#This Row],[Pris/enhed]]*Materialedata[[#This Row],[Omregning]]</f>
        <v>322.32180059390089</v>
      </c>
      <c r="AG41" s="190">
        <v>0.02</v>
      </c>
      <c r="AH41" s="191">
        <v>1</v>
      </c>
      <c r="AI41" s="162">
        <v>0</v>
      </c>
      <c r="AJ41" s="141">
        <f>IF(AJ$2&gt;Input_Tidshorisont,BlankTegn,IF(AJ$2=0,SUM(Materialedata[[#This Row],[A1-A3/m²]:[A4/m²]]),
AI41+IF(AJ$2=Input_Tidshorisont,SUM(Materialedata[[#This Row],[C3/m²]:[C4/m²]]),IF(MOD(AJ$2,Materialedata[[#This Row],[Levetid]])=0,SUM(Materialedata[[#This Row],[A1-A3/m²]:[C4/m²]]),0))
))</f>
        <v>0.72246600000000005</v>
      </c>
      <c r="AK41" s="141">
        <f>IF(AK$2&gt;Input_Tidshorisont,BlankTegn,IF(AK$2=0,SUM(Materialedata[[#This Row],[A1-A3/m²]:[A4/m²]]),
AJ41+IF(AK$2=Input_Tidshorisont,SUM(Materialedata[[#This Row],[C3/m²]:[C4/m²]]),IF(MOD(AK$2,Materialedata[[#This Row],[Levetid]])=0,SUM(Materialedata[[#This Row],[A1-A3/m²]:[C4/m²]]),0))
))</f>
        <v>0.72246600000000005</v>
      </c>
      <c r="AL41" s="141">
        <f>IF(AL$2&gt;Input_Tidshorisont,BlankTegn,IF(AL$2=0,SUM(Materialedata[[#This Row],[A1-A3/m²]:[A4/m²]]),
AK41+IF(AL$2=Input_Tidshorisont,SUM(Materialedata[[#This Row],[C3/m²]:[C4/m²]]),IF(MOD(AL$2,Materialedata[[#This Row],[Levetid]])=0,SUM(Materialedata[[#This Row],[A1-A3/m²]:[C4/m²]]),0))
))</f>
        <v>0.72246600000000005</v>
      </c>
      <c r="AM41" s="141">
        <f>IF(AM$2&gt;Input_Tidshorisont,BlankTegn,IF(AM$2=0,SUM(Materialedata[[#This Row],[A1-A3/m²]:[A4/m²]]),
AL41+IF(AM$2=Input_Tidshorisont,SUM(Materialedata[[#This Row],[C3/m²]:[C4/m²]]),IF(MOD(AM$2,Materialedata[[#This Row],[Levetid]])=0,SUM(Materialedata[[#This Row],[A1-A3/m²]:[C4/m²]]),0))
))</f>
        <v>0.72246600000000005</v>
      </c>
      <c r="AN41" s="141">
        <f>IF(AN$2&gt;Input_Tidshorisont,BlankTegn,IF(AN$2=0,SUM(Materialedata[[#This Row],[A1-A3/m²]:[A4/m²]]),
AM41+IF(AN$2=Input_Tidshorisont,SUM(Materialedata[[#This Row],[C3/m²]:[C4/m²]]),IF(MOD(AN$2,Materialedata[[#This Row],[Levetid]])=0,SUM(Materialedata[[#This Row],[A1-A3/m²]:[C4/m²]]),0))
))</f>
        <v>0.72246600000000005</v>
      </c>
      <c r="AO41" s="141">
        <f>IF(AO$2&gt;Input_Tidshorisont,BlankTegn,IF(AO$2=0,SUM(Materialedata[[#This Row],[A1-A3/m²]:[A4/m²]]),
AN41+IF(AO$2=Input_Tidshorisont,SUM(Materialedata[[#This Row],[C3/m²]:[C4/m²]]),IF(MOD(AO$2,Materialedata[[#This Row],[Levetid]])=0,SUM(Materialedata[[#This Row],[A1-A3/m²]:[C4/m²]]),0))
))</f>
        <v>0.72246600000000005</v>
      </c>
      <c r="AP41" s="141">
        <f>IF(AP$2&gt;Input_Tidshorisont,BlankTegn,IF(AP$2=0,SUM(Materialedata[[#This Row],[A1-A3/m²]:[A4/m²]]),
AO41+IF(AP$2=Input_Tidshorisont,SUM(Materialedata[[#This Row],[C3/m²]:[C4/m²]]),IF(MOD(AP$2,Materialedata[[#This Row],[Levetid]])=0,SUM(Materialedata[[#This Row],[A1-A3/m²]:[C4/m²]]),0))
))</f>
        <v>0.72246600000000005</v>
      </c>
      <c r="AQ41" s="141">
        <f>IF(AQ$2&gt;Input_Tidshorisont,BlankTegn,IF(AQ$2=0,SUM(Materialedata[[#This Row],[A1-A3/m²]:[A4/m²]]),
AP41+IF(AQ$2=Input_Tidshorisont,SUM(Materialedata[[#This Row],[C3/m²]:[C4/m²]]),IF(MOD(AQ$2,Materialedata[[#This Row],[Levetid]])=0,SUM(Materialedata[[#This Row],[A1-A3/m²]:[C4/m²]]),0))
))</f>
        <v>0.72246600000000005</v>
      </c>
      <c r="AR41" s="141">
        <f>IF(AR$2&gt;Input_Tidshorisont,BlankTegn,IF(AR$2=0,SUM(Materialedata[[#This Row],[A1-A3/m²]:[A4/m²]]),
AQ41+IF(AR$2=Input_Tidshorisont,SUM(Materialedata[[#This Row],[C3/m²]:[C4/m²]]),IF(MOD(AR$2,Materialedata[[#This Row],[Levetid]])=0,SUM(Materialedata[[#This Row],[A1-A3/m²]:[C4/m²]]),0))
))</f>
        <v>0.72246600000000005</v>
      </c>
      <c r="AS41" s="141">
        <f>IF(AS$2&gt;Input_Tidshorisont,BlankTegn,IF(AS$2=0,SUM(Materialedata[[#This Row],[A1-A3/m²]:[A4/m²]]),
AR41+IF(AS$2=Input_Tidshorisont,SUM(Materialedata[[#This Row],[C3/m²]:[C4/m²]]),IF(MOD(AS$2,Materialedata[[#This Row],[Levetid]])=0,SUM(Materialedata[[#This Row],[A1-A3/m²]:[C4/m²]]),0))
))</f>
        <v>0.72246600000000005</v>
      </c>
      <c r="AT41" s="141">
        <f>IF(AT$2&gt;Input_Tidshorisont,BlankTegn,IF(AT$2=0,SUM(Materialedata[[#This Row],[A1-A3/m²]:[A4/m²]]),
AS41+IF(AT$2=Input_Tidshorisont,SUM(Materialedata[[#This Row],[C3/m²]:[C4/m²]]),IF(MOD(AT$2,Materialedata[[#This Row],[Levetid]])=0,SUM(Materialedata[[#This Row],[A1-A3/m²]:[C4/m²]]),0))
))</f>
        <v>0.72246600000000005</v>
      </c>
      <c r="AU41" s="141">
        <f>IF(AU$2&gt;Input_Tidshorisont,BlankTegn,IF(AU$2=0,SUM(Materialedata[[#This Row],[A1-A3/m²]:[A4/m²]]),
AT41+IF(AU$2=Input_Tidshorisont,SUM(Materialedata[[#This Row],[C3/m²]:[C4/m²]]),IF(MOD(AU$2,Materialedata[[#This Row],[Levetid]])=0,SUM(Materialedata[[#This Row],[A1-A3/m²]:[C4/m²]]),0))
))</f>
        <v>0.72246600000000005</v>
      </c>
      <c r="AV41" s="141">
        <f>IF(AV$2&gt;Input_Tidshorisont,BlankTegn,IF(AV$2=0,SUM(Materialedata[[#This Row],[A1-A3/m²]:[A4/m²]]),
AU41+IF(AV$2=Input_Tidshorisont,SUM(Materialedata[[#This Row],[C3/m²]:[C4/m²]]),IF(MOD(AV$2,Materialedata[[#This Row],[Levetid]])=0,SUM(Materialedata[[#This Row],[A1-A3/m²]:[C4/m²]]),0))
))</f>
        <v>0.72246600000000005</v>
      </c>
      <c r="AW41" s="141">
        <f>IF(AW$2&gt;Input_Tidshorisont,BlankTegn,IF(AW$2=0,SUM(Materialedata[[#This Row],[A1-A3/m²]:[A4/m²]]),
AV41+IF(AW$2=Input_Tidshorisont,SUM(Materialedata[[#This Row],[C3/m²]:[C4/m²]]),IF(MOD(AW$2,Materialedata[[#This Row],[Levetid]])=0,SUM(Materialedata[[#This Row],[A1-A3/m²]:[C4/m²]]),0))
))</f>
        <v>0.72246600000000005</v>
      </c>
      <c r="AX41" s="141">
        <f>IF(AX$2&gt;Input_Tidshorisont,BlankTegn,IF(AX$2=0,SUM(Materialedata[[#This Row],[A1-A3/m²]:[A4/m²]]),
AW41+IF(AX$2=Input_Tidshorisont,SUM(Materialedata[[#This Row],[C3/m²]:[C4/m²]]),IF(MOD(AX$2,Materialedata[[#This Row],[Levetid]])=0,SUM(Materialedata[[#This Row],[A1-A3/m²]:[C4/m²]]),0))
))</f>
        <v>0.72246600000000005</v>
      </c>
      <c r="AY41" s="141">
        <f>IF(AY$2&gt;Input_Tidshorisont,BlankTegn,IF(AY$2=0,SUM(Materialedata[[#This Row],[A1-A3/m²]:[A4/m²]]),
AX41+IF(AY$2=Input_Tidshorisont,SUM(Materialedata[[#This Row],[C3/m²]:[C4/m²]]),IF(MOD(AY$2,Materialedata[[#This Row],[Levetid]])=0,SUM(Materialedata[[#This Row],[A1-A3/m²]:[C4/m²]]),0))
))</f>
        <v>0.72246600000000005</v>
      </c>
      <c r="AZ41" s="141">
        <f>IF(AZ$2&gt;Input_Tidshorisont,BlankTegn,IF(AZ$2=0,SUM(Materialedata[[#This Row],[A1-A3/m²]:[A4/m²]]),
AY41+IF(AZ$2=Input_Tidshorisont,SUM(Materialedata[[#This Row],[C3/m²]:[C4/m²]]),IF(MOD(AZ$2,Materialedata[[#This Row],[Levetid]])=0,SUM(Materialedata[[#This Row],[A1-A3/m²]:[C4/m²]]),0))
))</f>
        <v>0.72246600000000005</v>
      </c>
      <c r="BA41" s="141">
        <f>IF(BA$2&gt;Input_Tidshorisont,BlankTegn,IF(BA$2=0,SUM(Materialedata[[#This Row],[A1-A3/m²]:[A4/m²]]),
AZ41+IF(BA$2=Input_Tidshorisont,SUM(Materialedata[[#This Row],[C3/m²]:[C4/m²]]),IF(MOD(BA$2,Materialedata[[#This Row],[Levetid]])=0,SUM(Materialedata[[#This Row],[A1-A3/m²]:[C4/m²]]),0))
))</f>
        <v>0.72246600000000005</v>
      </c>
      <c r="BB41" s="141">
        <f>IF(BB$2&gt;Input_Tidshorisont,BlankTegn,IF(BB$2=0,SUM(Materialedata[[#This Row],[A1-A3/m²]:[A4/m²]]),
BA41+IF(BB$2=Input_Tidshorisont,SUM(Materialedata[[#This Row],[C3/m²]:[C4/m²]]),IF(MOD(BB$2,Materialedata[[#This Row],[Levetid]])=0,SUM(Materialedata[[#This Row],[A1-A3/m²]:[C4/m²]]),0))
))</f>
        <v>0.72246600000000005</v>
      </c>
      <c r="BC41" s="141">
        <f>IF(BC$2&gt;Input_Tidshorisont,BlankTegn,IF(BC$2=0,SUM(Materialedata[[#This Row],[A1-A3/m²]:[A4/m²]]),
BB41+IF(BC$2=Input_Tidshorisont,SUM(Materialedata[[#This Row],[C3/m²]:[C4/m²]]),IF(MOD(BC$2,Materialedata[[#This Row],[Levetid]])=0,SUM(Materialedata[[#This Row],[A1-A3/m²]:[C4/m²]]),0))
))</f>
        <v>0.72246600000000005</v>
      </c>
      <c r="BD41" s="141">
        <f>IF(BD$2&gt;Input_Tidshorisont,BlankTegn,IF(BD$2=0,SUM(Materialedata[[#This Row],[A1-A3/m²]:[A4/m²]]),
BC41+IF(BD$2=Input_Tidshorisont,SUM(Materialedata[[#This Row],[C3/m²]:[C4/m²]]),IF(MOD(BD$2,Materialedata[[#This Row],[Levetid]])=0,SUM(Materialedata[[#This Row],[A1-A3/m²]:[C4/m²]]),0))
))</f>
        <v>0.72246600000000005</v>
      </c>
      <c r="BE41" s="141">
        <f>IF(BE$2&gt;Input_Tidshorisont,BlankTegn,IF(BE$2=0,SUM(Materialedata[[#This Row],[A1-A3/m²]:[A4/m²]]),
BD41+IF(BE$2=Input_Tidshorisont,SUM(Materialedata[[#This Row],[C3/m²]:[C4/m²]]),IF(MOD(BE$2,Materialedata[[#This Row],[Levetid]])=0,SUM(Materialedata[[#This Row],[A1-A3/m²]:[C4/m²]]),0))
))</f>
        <v>0.72246600000000005</v>
      </c>
      <c r="BF41" s="141">
        <f>IF(BF$2&gt;Input_Tidshorisont,BlankTegn,IF(BF$2=0,SUM(Materialedata[[#This Row],[A1-A3/m²]:[A4/m²]]),
BE41+IF(BF$2=Input_Tidshorisont,SUM(Materialedata[[#This Row],[C3/m²]:[C4/m²]]),IF(MOD(BF$2,Materialedata[[#This Row],[Levetid]])=0,SUM(Materialedata[[#This Row],[A1-A3/m²]:[C4/m²]]),0))
))</f>
        <v>0.72246600000000005</v>
      </c>
      <c r="BG41" s="141">
        <f>IF(BG$2&gt;Input_Tidshorisont,BlankTegn,IF(BG$2=0,SUM(Materialedata[[#This Row],[A1-A3/m²]:[A4/m²]]),
BF41+IF(BG$2=Input_Tidshorisont,SUM(Materialedata[[#This Row],[C3/m²]:[C4/m²]]),IF(MOD(BG$2,Materialedata[[#This Row],[Levetid]])=0,SUM(Materialedata[[#This Row],[A1-A3/m²]:[C4/m²]]),0))
))</f>
        <v>0.72246600000000005</v>
      </c>
      <c r="BH41" s="141">
        <f>IF(BH$2&gt;Input_Tidshorisont,BlankTegn,IF(BH$2=0,SUM(Materialedata[[#This Row],[A1-A3/m²]:[A4/m²]]),
BG41+IF(BH$2=Input_Tidshorisont,SUM(Materialedata[[#This Row],[C3/m²]:[C4/m²]]),IF(MOD(BH$2,Materialedata[[#This Row],[Levetid]])=0,SUM(Materialedata[[#This Row],[A1-A3/m²]:[C4/m²]]),0))
))</f>
        <v>0.72246600000000005</v>
      </c>
      <c r="BI41" s="141">
        <f>IF(BI$2&gt;Input_Tidshorisont,BlankTegn,IF(BI$2=0,SUM(Materialedata[[#This Row],[A1-A3/m²]:[A4/m²]]),
BH41+IF(BI$2=Input_Tidshorisont,SUM(Materialedata[[#This Row],[C3/m²]:[C4/m²]]),IF(MOD(BI$2,Materialedata[[#This Row],[Levetid]])=0,SUM(Materialedata[[#This Row],[A1-A3/m²]:[C4/m²]]),0))
))</f>
        <v>0.72246600000000005</v>
      </c>
      <c r="BJ41" s="141">
        <f>IF(BJ$2&gt;Input_Tidshorisont,BlankTegn,IF(BJ$2=0,SUM(Materialedata[[#This Row],[A1-A3/m²]:[A4/m²]]),
BI41+IF(BJ$2=Input_Tidshorisont,SUM(Materialedata[[#This Row],[C3/m²]:[C4/m²]]),IF(MOD(BJ$2,Materialedata[[#This Row],[Levetid]])=0,SUM(Materialedata[[#This Row],[A1-A3/m²]:[C4/m²]]),0))
))</f>
        <v>0.72246600000000005</v>
      </c>
      <c r="BK41" s="141">
        <f>IF(BK$2&gt;Input_Tidshorisont,BlankTegn,IF(BK$2=0,SUM(Materialedata[[#This Row],[A1-A3/m²]:[A4/m²]]),
BJ41+IF(BK$2=Input_Tidshorisont,SUM(Materialedata[[#This Row],[C3/m²]:[C4/m²]]),IF(MOD(BK$2,Materialedata[[#This Row],[Levetid]])=0,SUM(Materialedata[[#This Row],[A1-A3/m²]:[C4/m²]]),0))
))</f>
        <v>0.72246600000000005</v>
      </c>
      <c r="BL41" s="141">
        <f>IF(BL$2&gt;Input_Tidshorisont,BlankTegn,IF(BL$2=0,SUM(Materialedata[[#This Row],[A1-A3/m²]:[A4/m²]]),
BK41+IF(BL$2=Input_Tidshorisont,SUM(Materialedata[[#This Row],[C3/m²]:[C4/m²]]),IF(MOD(BL$2,Materialedata[[#This Row],[Levetid]])=0,SUM(Materialedata[[#This Row],[A1-A3/m²]:[C4/m²]]),0))
))</f>
        <v>0.72246600000000005</v>
      </c>
      <c r="BM41" s="141">
        <f>IF(BM$2&gt;Input_Tidshorisont,BlankTegn,IF(BM$2=0,SUM(Materialedata[[#This Row],[A1-A3/m²]:[A4/m²]]),
BL41+IF(BM$2=Input_Tidshorisont,SUM(Materialedata[[#This Row],[C3/m²]:[C4/m²]]),IF(MOD(BM$2,Materialedata[[#This Row],[Levetid]])=0,SUM(Materialedata[[#This Row],[A1-A3/m²]:[C4/m²]]),0))
))</f>
        <v>0.72246600000000005</v>
      </c>
      <c r="BN41" s="141">
        <f>IF(BN$2&gt;Input_Tidshorisont,BlankTegn,IF(BN$2=0,SUM(Materialedata[[#This Row],[A1-A3/m²]:[A4/m²]]),
BM41+IF(BN$2=Input_Tidshorisont,SUM(Materialedata[[#This Row],[C3/m²]:[C4/m²]]),IF(MOD(BN$2,Materialedata[[#This Row],[Levetid]])=0,SUM(Materialedata[[#This Row],[A1-A3/m²]:[C4/m²]]),0))
))</f>
        <v>0.72246600000000005</v>
      </c>
      <c r="BO41" s="141">
        <f>IF(BO$2&gt;Input_Tidshorisont,BlankTegn,IF(BO$2=0,SUM(Materialedata[[#This Row],[A1-A3/m²]:[A4/m²]]),
BN41+IF(BO$2=Input_Tidshorisont,SUM(Materialedata[[#This Row],[C3/m²]:[C4/m²]]),IF(MOD(BO$2,Materialedata[[#This Row],[Levetid]])=0,SUM(Materialedata[[#This Row],[A1-A3/m²]:[C4/m²]]),0))
))</f>
        <v>0.72246600000000005</v>
      </c>
      <c r="BP41" s="141">
        <f>IF(BP$2&gt;Input_Tidshorisont,BlankTegn,IF(BP$2=0,SUM(Materialedata[[#This Row],[A1-A3/m²]:[A4/m²]]),
BO41+IF(BP$2=Input_Tidshorisont,SUM(Materialedata[[#This Row],[C3/m²]:[C4/m²]]),IF(MOD(BP$2,Materialedata[[#This Row],[Levetid]])=0,SUM(Materialedata[[#This Row],[A1-A3/m²]:[C4/m²]]),0))
))</f>
        <v>0.72246600000000005</v>
      </c>
      <c r="BQ41" s="141">
        <f>IF(BQ$2&gt;Input_Tidshorisont,BlankTegn,IF(BQ$2=0,SUM(Materialedata[[#This Row],[A1-A3/m²]:[A4/m²]]),
BP41+IF(BQ$2=Input_Tidshorisont,SUM(Materialedata[[#This Row],[C3/m²]:[C4/m²]]),IF(MOD(BQ$2,Materialedata[[#This Row],[Levetid]])=0,SUM(Materialedata[[#This Row],[A1-A3/m²]:[C4/m²]]),0))
))</f>
        <v>0.72246600000000005</v>
      </c>
      <c r="BR41" s="141">
        <f>IF(BR$2&gt;Input_Tidshorisont,BlankTegn,IF(BR$2=0,SUM(Materialedata[[#This Row],[A1-A3/m²]:[A4/m²]]),
BQ41+IF(BR$2=Input_Tidshorisont,SUM(Materialedata[[#This Row],[C3/m²]:[C4/m²]]),IF(MOD(BR$2,Materialedata[[#This Row],[Levetid]])=0,SUM(Materialedata[[#This Row],[A1-A3/m²]:[C4/m²]]),0))
))</f>
        <v>0.72246600000000005</v>
      </c>
      <c r="BS41" s="141">
        <f>IF(BS$2&gt;Input_Tidshorisont,BlankTegn,IF(BS$2=0,SUM(Materialedata[[#This Row],[A1-A3/m²]:[A4/m²]]),
BR41+IF(BS$2=Input_Tidshorisont,SUM(Materialedata[[#This Row],[C3/m²]:[C4/m²]]),IF(MOD(BS$2,Materialedata[[#This Row],[Levetid]])=0,SUM(Materialedata[[#This Row],[A1-A3/m²]:[C4/m²]]),0))
))</f>
        <v>0.72246600000000005</v>
      </c>
      <c r="BT41" s="141">
        <f>IF(BT$2&gt;Input_Tidshorisont,BlankTegn,IF(BT$2=0,SUM(Materialedata[[#This Row],[A1-A3/m²]:[A4/m²]]),
BS41+IF(BT$2=Input_Tidshorisont,SUM(Materialedata[[#This Row],[C3/m²]:[C4/m²]]),IF(MOD(BT$2,Materialedata[[#This Row],[Levetid]])=0,SUM(Materialedata[[#This Row],[A1-A3/m²]:[C4/m²]]),0))
))</f>
        <v>0.72246600000000005</v>
      </c>
      <c r="BU41" s="141">
        <f>IF(BU$2&gt;Input_Tidshorisont,BlankTegn,IF(BU$2=0,SUM(Materialedata[[#This Row],[A1-A3/m²]:[A4/m²]]),
BT41+IF(BU$2=Input_Tidshorisont,SUM(Materialedata[[#This Row],[C3/m²]:[C4/m²]]),IF(MOD(BU$2,Materialedata[[#This Row],[Levetid]])=0,SUM(Materialedata[[#This Row],[A1-A3/m²]:[C4/m²]]),0))
))</f>
        <v>0.72246600000000005</v>
      </c>
      <c r="BV41" s="141">
        <f>IF(BV$2&gt;Input_Tidshorisont,BlankTegn,IF(BV$2=0,SUM(Materialedata[[#This Row],[A1-A3/m²]:[A4/m²]]),
BU41+IF(BV$2=Input_Tidshorisont,SUM(Materialedata[[#This Row],[C3/m²]:[C4/m²]]),IF(MOD(BV$2,Materialedata[[#This Row],[Levetid]])=0,SUM(Materialedata[[#This Row],[A1-A3/m²]:[C4/m²]]),0))
))</f>
        <v>0.72246600000000005</v>
      </c>
      <c r="BW41" s="141">
        <f>IF(BW$2&gt;Input_Tidshorisont,BlankTegn,IF(BW$2=0,SUM(Materialedata[[#This Row],[A1-A3/m²]:[A4/m²]]),
BV41+IF(BW$2=Input_Tidshorisont,SUM(Materialedata[[#This Row],[C3/m²]:[C4/m²]]),IF(MOD(BW$2,Materialedata[[#This Row],[Levetid]])=0,SUM(Materialedata[[#This Row],[A1-A3/m²]:[C4/m²]]),0))
))</f>
        <v>0.72246600000000005</v>
      </c>
      <c r="BX41" s="141">
        <f>IF(BX$2&gt;Input_Tidshorisont,BlankTegn,IF(BX$2=0,SUM(Materialedata[[#This Row],[A1-A3/m²]:[A4/m²]]),
BW41+IF(BX$2=Input_Tidshorisont,SUM(Materialedata[[#This Row],[C3/m²]:[C4/m²]]),IF(MOD(BX$2,Materialedata[[#This Row],[Levetid]])=0,SUM(Materialedata[[#This Row],[A1-A3/m²]:[C4/m²]]),0))
))</f>
        <v>0.72246600000000005</v>
      </c>
      <c r="BY41" s="141">
        <f>IF(BY$2&gt;Input_Tidshorisont,BlankTegn,IF(BY$2=0,SUM(Materialedata[[#This Row],[A1-A3/m²]:[A4/m²]]),
BX41+IF(BY$2=Input_Tidshorisont,SUM(Materialedata[[#This Row],[C3/m²]:[C4/m²]]),IF(MOD(BY$2,Materialedata[[#This Row],[Levetid]])=0,SUM(Materialedata[[#This Row],[A1-A3/m²]:[C4/m²]]),0))
))</f>
        <v>0.72246600000000005</v>
      </c>
      <c r="BZ41" s="141">
        <f>IF(BZ$2&gt;Input_Tidshorisont,BlankTegn,IF(BZ$2=0,SUM(Materialedata[[#This Row],[A1-A3/m²]:[A4/m²]]),
BY41+IF(BZ$2=Input_Tidshorisont,SUM(Materialedata[[#This Row],[C3/m²]:[C4/m²]]),IF(MOD(BZ$2,Materialedata[[#This Row],[Levetid]])=0,SUM(Materialedata[[#This Row],[A1-A3/m²]:[C4/m²]]),0))
))</f>
        <v>0.72246600000000005</v>
      </c>
      <c r="CA41" s="141">
        <f>IF(CA$2&gt;Input_Tidshorisont,BlankTegn,IF(CA$2=0,SUM(Materialedata[[#This Row],[A1-A3/m²]:[A4/m²]]),
BZ41+IF(CA$2=Input_Tidshorisont,SUM(Materialedata[[#This Row],[C3/m²]:[C4/m²]]),IF(MOD(CA$2,Materialedata[[#This Row],[Levetid]])=0,SUM(Materialedata[[#This Row],[A1-A3/m²]:[C4/m²]]),0))
))</f>
        <v>0.72246600000000005</v>
      </c>
      <c r="CB41" s="141">
        <f>IF(CB$2&gt;Input_Tidshorisont,BlankTegn,IF(CB$2=0,SUM(Materialedata[[#This Row],[A1-A3/m²]:[A4/m²]]),
CA41+IF(CB$2=Input_Tidshorisont,SUM(Materialedata[[#This Row],[C3/m²]:[C4/m²]]),IF(MOD(CB$2,Materialedata[[#This Row],[Levetid]])=0,SUM(Materialedata[[#This Row],[A1-A3/m²]:[C4/m²]]),0))
))</f>
        <v>0.72246600000000005</v>
      </c>
      <c r="CC41" s="141">
        <f>IF(CC$2&gt;Input_Tidshorisont,BlankTegn,IF(CC$2=0,SUM(Materialedata[[#This Row],[A1-A3/m²]:[A4/m²]]),
CB41+IF(CC$2=Input_Tidshorisont,SUM(Materialedata[[#This Row],[C3/m²]:[C4/m²]]),IF(MOD(CC$2,Materialedata[[#This Row],[Levetid]])=0,SUM(Materialedata[[#This Row],[A1-A3/m²]:[C4/m²]]),0))
))</f>
        <v>0.72246600000000005</v>
      </c>
      <c r="CD41" s="141">
        <f>IF(CD$2&gt;Input_Tidshorisont,BlankTegn,IF(CD$2=0,SUM(Materialedata[[#This Row],[A1-A3/m²]:[A4/m²]]),
CC41+IF(CD$2=Input_Tidshorisont,SUM(Materialedata[[#This Row],[C3/m²]:[C4/m²]]),IF(MOD(CD$2,Materialedata[[#This Row],[Levetid]])=0,SUM(Materialedata[[#This Row],[A1-A3/m²]:[C4/m²]]),0))
))</f>
        <v>0.72246600000000005</v>
      </c>
      <c r="CE41" s="141">
        <f>IF(CE$2&gt;Input_Tidshorisont,BlankTegn,IF(CE$2=0,SUM(Materialedata[[#This Row],[A1-A3/m²]:[A4/m²]]),
CD41+IF(CE$2=Input_Tidshorisont,SUM(Materialedata[[#This Row],[C3/m²]:[C4/m²]]),IF(MOD(CE$2,Materialedata[[#This Row],[Levetid]])=0,SUM(Materialedata[[#This Row],[A1-A3/m²]:[C4/m²]]),0))
))</f>
        <v>0.72246600000000005</v>
      </c>
      <c r="CF41" s="141">
        <f>IF(CF$2&gt;Input_Tidshorisont,BlankTegn,IF(CF$2=0,SUM(Materialedata[[#This Row],[A1-A3/m²]:[A4/m²]]),
CE41+IF(CF$2=Input_Tidshorisont,SUM(Materialedata[[#This Row],[C3/m²]:[C4/m²]]),IF(MOD(CF$2,Materialedata[[#This Row],[Levetid]])=0,SUM(Materialedata[[#This Row],[A1-A3/m²]:[C4/m²]]),0))
))</f>
        <v>0.72246600000000005</v>
      </c>
      <c r="CG41" s="141">
        <f>IF(CG$2&gt;Input_Tidshorisont,BlankTegn,IF(CG$2=0,SUM(Materialedata[[#This Row],[A1-A3/m²]:[A4/m²]]),
CF41+IF(CG$2=Input_Tidshorisont,SUM(Materialedata[[#This Row],[C3/m²]:[C4/m²]]),IF(MOD(CG$2,Materialedata[[#This Row],[Levetid]])=0,SUM(Materialedata[[#This Row],[A1-A3/m²]:[C4/m²]]),0))
))</f>
        <v>0.72246600000000005</v>
      </c>
      <c r="CH41" s="141">
        <f>IF(CH$2&gt;Input_Tidshorisont,BlankTegn,IF(CH$2=0,SUM(Materialedata[[#This Row],[A1-A3/m²]:[A4/m²]]),
CG41+IF(CH$2=Input_Tidshorisont,SUM(Materialedata[[#This Row],[C3/m²]:[C4/m²]]),IF(MOD(CH$2,Materialedata[[#This Row],[Levetid]])=0,SUM(Materialedata[[#This Row],[A1-A3/m²]:[C4/m²]]),0))
))</f>
        <v>1.7397752400000002</v>
      </c>
      <c r="CI41" s="141" t="str">
        <f>IF(CI$2&gt;Input_Tidshorisont,BlankTegn,IF(CI$2=0,SUM(Materialedata[[#This Row],[A1-A3/m²]:[A4/m²]]),
CH41+IF(CI$2=Input_Tidshorisont,SUM(Materialedata[[#This Row],[C3/m²]:[C4/m²]]),IF(MOD(CI$2,Materialedata[[#This Row],[Levetid]])=0,SUM(Materialedata[[#This Row],[A1-A3/m²]:[C4/m²]]),0))
))</f>
        <v>.</v>
      </c>
      <c r="CJ41" s="141" t="str">
        <f>IF(CJ$2&gt;Input_Tidshorisont,BlankTegn,IF(CJ$2=0,SUM(Materialedata[[#This Row],[A1-A3/m²]:[A4/m²]]),
CI41+IF(CJ$2=Input_Tidshorisont,SUM(Materialedata[[#This Row],[C3/m²]:[C4/m²]]),IF(MOD(CJ$2,Materialedata[[#This Row],[Levetid]])=0,SUM(Materialedata[[#This Row],[A1-A3/m²]:[C4/m²]]),0))
))</f>
        <v>.</v>
      </c>
      <c r="CK41" s="141" t="str">
        <f>IF(CK$2&gt;Input_Tidshorisont,BlankTegn,IF(CK$2=0,SUM(Materialedata[[#This Row],[A1-A3/m²]:[A4/m²]]),
CJ41+IF(CK$2=Input_Tidshorisont,SUM(Materialedata[[#This Row],[C3/m²]:[C4/m²]]),IF(MOD(CK$2,Materialedata[[#This Row],[Levetid]])=0,SUM(Materialedata[[#This Row],[A1-A3/m²]:[C4/m²]]),0))
))</f>
        <v>.</v>
      </c>
      <c r="CL41" s="141" t="str">
        <f>IF(CL$2&gt;Input_Tidshorisont,BlankTegn,IF(CL$2=0,SUM(Materialedata[[#This Row],[A1-A3/m²]:[A4/m²]]),
CK41+IF(CL$2=Input_Tidshorisont,SUM(Materialedata[[#This Row],[C3/m²]:[C4/m²]]),IF(MOD(CL$2,Materialedata[[#This Row],[Levetid]])=0,SUM(Materialedata[[#This Row],[A1-A3/m²]:[C4/m²]]),0))
))</f>
        <v>.</v>
      </c>
      <c r="CM41" s="141" t="str">
        <f>IF(CM$2&gt;Input_Tidshorisont,BlankTegn,IF(CM$2=0,SUM(Materialedata[[#This Row],[A1-A3/m²]:[A4/m²]]),
CL41+IF(CM$2=Input_Tidshorisont,SUM(Materialedata[[#This Row],[C3/m²]:[C4/m²]]),IF(MOD(CM$2,Materialedata[[#This Row],[Levetid]])=0,SUM(Materialedata[[#This Row],[A1-A3/m²]:[C4/m²]]),0))
))</f>
        <v>.</v>
      </c>
      <c r="CN41" s="141" t="str">
        <f>IF(CN$2&gt;Input_Tidshorisont,BlankTegn,IF(CN$2=0,SUM(Materialedata[[#This Row],[A1-A3/m²]:[A4/m²]]),
CM41+IF(CN$2=Input_Tidshorisont,SUM(Materialedata[[#This Row],[C3/m²]:[C4/m²]]),IF(MOD(CN$2,Materialedata[[#This Row],[Levetid]])=0,SUM(Materialedata[[#This Row],[A1-A3/m²]:[C4/m²]]),0))
))</f>
        <v>.</v>
      </c>
      <c r="CO41" s="141" t="str">
        <f>IF(CO$2&gt;Input_Tidshorisont,BlankTegn,IF(CO$2=0,SUM(Materialedata[[#This Row],[A1-A3/m²]:[A4/m²]]),
CN41+IF(CO$2=Input_Tidshorisont,SUM(Materialedata[[#This Row],[C3/m²]:[C4/m²]]),IF(MOD(CO$2,Materialedata[[#This Row],[Levetid]])=0,SUM(Materialedata[[#This Row],[A1-A3/m²]:[C4/m²]]),0))
))</f>
        <v>.</v>
      </c>
      <c r="CP41" s="141" t="str">
        <f>IF(CP$2&gt;Input_Tidshorisont,BlankTegn,IF(CP$2=0,SUM(Materialedata[[#This Row],[A1-A3/m²]:[A4/m²]]),
CO41+IF(CP$2=Input_Tidshorisont,SUM(Materialedata[[#This Row],[C3/m²]:[C4/m²]]),IF(MOD(CP$2,Materialedata[[#This Row],[Levetid]])=0,SUM(Materialedata[[#This Row],[A1-A3/m²]:[C4/m²]]),0))
))</f>
        <v>.</v>
      </c>
      <c r="CQ41" s="141" t="str">
        <f>IF(CQ$2&gt;Input_Tidshorisont,BlankTegn,IF(CQ$2=0,SUM(Materialedata[[#This Row],[A1-A3/m²]:[A4/m²]]),
CP41+IF(CQ$2=Input_Tidshorisont,SUM(Materialedata[[#This Row],[C3/m²]:[C4/m²]]),IF(MOD(CQ$2,Materialedata[[#This Row],[Levetid]])=0,SUM(Materialedata[[#This Row],[A1-A3/m²]:[C4/m²]]),0))
))</f>
        <v>.</v>
      </c>
      <c r="CR41" s="141" t="str">
        <f>IF(CR$2&gt;Input_Tidshorisont,BlankTegn,IF(CR$2=0,SUM(Materialedata[[#This Row],[A1-A3/m²]:[A4/m²]]),
CQ41+IF(CR$2=Input_Tidshorisont,SUM(Materialedata[[#This Row],[C3/m²]:[C4/m²]]),IF(MOD(CR$2,Materialedata[[#This Row],[Levetid]])=0,SUM(Materialedata[[#This Row],[A1-A3/m²]:[C4/m²]]),0))
))</f>
        <v>.</v>
      </c>
      <c r="CS41" s="141" t="str">
        <f>IF(CS$2&gt;Input_Tidshorisont,BlankTegn,IF(CS$2=0,SUM(Materialedata[[#This Row],[A1-A3/m²]:[A4/m²]]),
CR41+IF(CS$2=Input_Tidshorisont,SUM(Materialedata[[#This Row],[C3/m²]:[C4/m²]]),IF(MOD(CS$2,Materialedata[[#This Row],[Levetid]])=0,SUM(Materialedata[[#This Row],[A1-A3/m²]:[C4/m²]]),0))
))</f>
        <v>.</v>
      </c>
      <c r="CT41" s="141" t="str">
        <f>IF(CT$2&gt;Input_Tidshorisont,BlankTegn,IF(CT$2=0,SUM(Materialedata[[#This Row],[A1-A3/m²]:[A4/m²]]),
CS41+IF(CT$2=Input_Tidshorisont,SUM(Materialedata[[#This Row],[C3/m²]:[C4/m²]]),IF(MOD(CT$2,Materialedata[[#This Row],[Levetid]])=0,SUM(Materialedata[[#This Row],[A1-A3/m²]:[C4/m²]]),0))
))</f>
        <v>.</v>
      </c>
      <c r="CU41" s="141" t="str">
        <f>IF(CU$2&gt;Input_Tidshorisont,BlankTegn,IF(CU$2=0,SUM(Materialedata[[#This Row],[A1-A3/m²]:[A4/m²]]),
CT41+IF(CU$2=Input_Tidshorisont,SUM(Materialedata[[#This Row],[C3/m²]:[C4/m²]]),IF(MOD(CU$2,Materialedata[[#This Row],[Levetid]])=0,SUM(Materialedata[[#This Row],[A1-A3/m²]:[C4/m²]]),0))
))</f>
        <v>.</v>
      </c>
      <c r="CV41" s="141" t="str">
        <f>IF(CV$2&gt;Input_Tidshorisont,BlankTegn,IF(CV$2=0,SUM(Materialedata[[#This Row],[A1-A3/m²]:[A4/m²]]),
CU41+IF(CV$2=Input_Tidshorisont,SUM(Materialedata[[#This Row],[C3/m²]:[C4/m²]]),IF(MOD(CV$2,Materialedata[[#This Row],[Levetid]])=0,SUM(Materialedata[[#This Row],[A1-A3/m²]:[C4/m²]]),0))
))</f>
        <v>.</v>
      </c>
      <c r="CW41" s="141" t="str">
        <f>IF(CW$2&gt;Input_Tidshorisont,BlankTegn,IF(CW$2=0,SUM(Materialedata[[#This Row],[A1-A3/m²]:[A4/m²]]),
CV41+IF(CW$2=Input_Tidshorisont,SUM(Materialedata[[#This Row],[C3/m²]:[C4/m²]]),IF(MOD(CW$2,Materialedata[[#This Row],[Levetid]])=0,SUM(Materialedata[[#This Row],[A1-A3/m²]:[C4/m²]]),0))
))</f>
        <v>.</v>
      </c>
      <c r="CX41" s="141" t="str">
        <f>IF(CX$2&gt;Input_Tidshorisont,BlankTegn,IF(CX$2=0,SUM(Materialedata[[#This Row],[A1-A3/m²]:[A4/m²]]),
CW41+IF(CX$2=Input_Tidshorisont,SUM(Materialedata[[#This Row],[C3/m²]:[C4/m²]]),IF(MOD(CX$2,Materialedata[[#This Row],[Levetid]])=0,SUM(Materialedata[[#This Row],[A1-A3/m²]:[C4/m²]]),0))
))</f>
        <v>.</v>
      </c>
      <c r="CY41" s="141" t="str">
        <f>IF(CY$2&gt;Input_Tidshorisont,BlankTegn,IF(CY$2=0,SUM(Materialedata[[#This Row],[A1-A3/m²]:[A4/m²]]),
CX41+IF(CY$2=Input_Tidshorisont,SUM(Materialedata[[#This Row],[C3/m²]:[C4/m²]]),IF(MOD(CY$2,Materialedata[[#This Row],[Levetid]])=0,SUM(Materialedata[[#This Row],[A1-A3/m²]:[C4/m²]]),0))
))</f>
        <v>.</v>
      </c>
      <c r="CZ41" s="141" t="str">
        <f>IF(CZ$2&gt;Input_Tidshorisont,BlankTegn,IF(CZ$2=0,SUM(Materialedata[[#This Row],[A1-A3/m²]:[A4/m²]]),
CY41+IF(CZ$2=Input_Tidshorisont,SUM(Materialedata[[#This Row],[C3/m²]:[C4/m²]]),IF(MOD(CZ$2,Materialedata[[#This Row],[Levetid]])=0,SUM(Materialedata[[#This Row],[A1-A3/m²]:[C4/m²]]),0))
))</f>
        <v>.</v>
      </c>
      <c r="DA41" s="141" t="str">
        <f>IF(DA$2&gt;Input_Tidshorisont,BlankTegn,IF(DA$2=0,SUM(Materialedata[[#This Row],[A1-A3/m²]:[A4/m²]]),
CZ41+IF(DA$2=Input_Tidshorisont,SUM(Materialedata[[#This Row],[C3/m²]:[C4/m²]]),IF(MOD(DA$2,Materialedata[[#This Row],[Levetid]])=0,SUM(Materialedata[[#This Row],[A1-A3/m²]:[C4/m²]]),0))
))</f>
        <v>.</v>
      </c>
      <c r="DB41" s="141" t="str">
        <f>IF(DB$2&gt;Input_Tidshorisont,BlankTegn,IF(DB$2=0,SUM(Materialedata[[#This Row],[A1-A3/m²]:[A4/m²]]),
DA41+IF(DB$2=Input_Tidshorisont,SUM(Materialedata[[#This Row],[C3/m²]:[C4/m²]]),IF(MOD(DB$2,Materialedata[[#This Row],[Levetid]])=0,SUM(Materialedata[[#This Row],[A1-A3/m²]:[C4/m²]]),0))
))</f>
        <v>.</v>
      </c>
      <c r="DC41" s="141" t="str">
        <f>IF(DC$2&gt;Input_Tidshorisont,BlankTegn,IF(DC$2=0,SUM(Materialedata[[#This Row],[A1-A3/m²]:[A4/m²]]),
DB41+IF(DC$2=Input_Tidshorisont,SUM(Materialedata[[#This Row],[C3/m²]:[C4/m²]]),IF(MOD(DC$2,Materialedata[[#This Row],[Levetid]])=0,SUM(Materialedata[[#This Row],[A1-A3/m²]:[C4/m²]]),0))
))</f>
        <v>.</v>
      </c>
      <c r="DD41" s="141" t="str">
        <f>IF(DD$2&gt;Input_Tidshorisont,BlankTegn,IF(DD$2=0,SUM(Materialedata[[#This Row],[A1-A3/m²]:[A4/m²]]),
DC41+IF(DD$2=Input_Tidshorisont,SUM(Materialedata[[#This Row],[C3/m²]:[C4/m²]]),IF(MOD(DD$2,Materialedata[[#This Row],[Levetid]])=0,SUM(Materialedata[[#This Row],[A1-A3/m²]:[C4/m²]]),0))
))</f>
        <v>.</v>
      </c>
      <c r="DE41" s="141" t="str">
        <f>IF(DE$2&gt;Input_Tidshorisont,BlankTegn,IF(DE$2=0,SUM(Materialedata[[#This Row],[A1-A3/m²]:[A4/m²]]),
DD41+IF(DE$2=Input_Tidshorisont,SUM(Materialedata[[#This Row],[C3/m²]:[C4/m²]]),IF(MOD(DE$2,Materialedata[[#This Row],[Levetid]])=0,SUM(Materialedata[[#This Row],[A1-A3/m²]:[C4/m²]]),0))
))</f>
        <v>.</v>
      </c>
      <c r="DF41" s="141" t="str">
        <f>IF(DF$2&gt;Input_Tidshorisont,BlankTegn,IF(DF$2=0,SUM(Materialedata[[#This Row],[A1-A3/m²]:[A4/m²]]),
DE41+IF(DF$2=Input_Tidshorisont,SUM(Materialedata[[#This Row],[C3/m²]:[C4/m²]]),IF(MOD(DF$2,Materialedata[[#This Row],[Levetid]])=0,SUM(Materialedata[[#This Row],[A1-A3/m²]:[C4/m²]]),0))
))</f>
        <v>.</v>
      </c>
      <c r="DG41" s="141" t="str">
        <f>IF(DG$2&gt;Input_Tidshorisont,BlankTegn,IF(DG$2=0,SUM(Materialedata[[#This Row],[A1-A3/m²]:[A4/m²]]),
DF41+IF(DG$2=Input_Tidshorisont,SUM(Materialedata[[#This Row],[C3/m²]:[C4/m²]]),IF(MOD(DG$2,Materialedata[[#This Row],[Levetid]])=0,SUM(Materialedata[[#This Row],[A1-A3/m²]:[C4/m²]]),0))
))</f>
        <v>.</v>
      </c>
      <c r="DH41" s="141" t="str">
        <f>IF(DH$2&gt;Input_Tidshorisont,BlankTegn,IF(DH$2=0,SUM(Materialedata[[#This Row],[A1-A3/m²]:[A4/m²]]),
DG41+IF(DH$2=Input_Tidshorisont,SUM(Materialedata[[#This Row],[C3/m²]:[C4/m²]]),IF(MOD(DH$2,Materialedata[[#This Row],[Levetid]])=0,SUM(Materialedata[[#This Row],[A1-A3/m²]:[C4/m²]]),0))
))</f>
        <v>.</v>
      </c>
      <c r="DI41" s="141" t="str">
        <f>IF(DI$2&gt;Input_Tidshorisont,BlankTegn,IF(DI$2=0,SUM(Materialedata[[#This Row],[A1-A3/m²]:[A4/m²]]),
DH41+IF(DI$2=Input_Tidshorisont,SUM(Materialedata[[#This Row],[C3/m²]:[C4/m²]]),IF(MOD(DI$2,Materialedata[[#This Row],[Levetid]])=0,SUM(Materialedata[[#This Row],[A1-A3/m²]:[C4/m²]]),0))
))</f>
        <v>.</v>
      </c>
      <c r="DJ41" s="141" t="str">
        <f>IF(DJ$2&gt;Input_Tidshorisont,BlankTegn,IF(DJ$2=0,SUM(Materialedata[[#This Row],[A1-A3/m²]:[A4/m²]]),
DI41+IF(DJ$2=Input_Tidshorisont,SUM(Materialedata[[#This Row],[C3/m²]:[C4/m²]]),IF(MOD(DJ$2,Materialedata[[#This Row],[Levetid]])=0,SUM(Materialedata[[#This Row],[A1-A3/m²]:[C4/m²]]),0))
))</f>
        <v>.</v>
      </c>
      <c r="DK41" s="141" t="str">
        <f>IF(DK$2&gt;Input_Tidshorisont,BlankTegn,IF(DK$2=0,SUM(Materialedata[[#This Row],[A1-A3/m²]:[A4/m²]]),
DJ41+IF(DK$2=Input_Tidshorisont,SUM(Materialedata[[#This Row],[C3/m²]:[C4/m²]]),IF(MOD(DK$2,Materialedata[[#This Row],[Levetid]])=0,SUM(Materialedata[[#This Row],[A1-A3/m²]:[C4/m²]]),0))
))</f>
        <v>.</v>
      </c>
      <c r="DL41" s="141" t="str">
        <f>IF(DL$2&gt;Input_Tidshorisont,BlankTegn,IF(DL$2=0,SUM(Materialedata[[#This Row],[A1-A3/m²]:[A4/m²]]),
DK41+IF(DL$2=Input_Tidshorisont,SUM(Materialedata[[#This Row],[C3/m²]:[C4/m²]]),IF(MOD(DL$2,Materialedata[[#This Row],[Levetid]])=0,SUM(Materialedata[[#This Row],[A1-A3/m²]:[C4/m²]]),0))
))</f>
        <v>.</v>
      </c>
      <c r="DM41" s="19"/>
    </row>
    <row r="42" spans="1:117" ht="36">
      <c r="A42" s="182" t="s">
        <v>36</v>
      </c>
      <c r="B42" s="182" t="s">
        <v>180</v>
      </c>
      <c r="C42" s="148" t="s">
        <v>181</v>
      </c>
      <c r="D42" s="149" t="s">
        <v>271</v>
      </c>
      <c r="E42" s="180" t="s">
        <v>182</v>
      </c>
      <c r="F42" s="182" t="s">
        <v>140</v>
      </c>
      <c r="G42" s="182">
        <v>60</v>
      </c>
      <c r="H42" s="183">
        <v>607</v>
      </c>
      <c r="I42" s="184">
        <v>1.2E-2</v>
      </c>
      <c r="J42" s="184" t="s">
        <v>232</v>
      </c>
      <c r="K42" s="182">
        <v>-753</v>
      </c>
      <c r="L42" s="182" t="s">
        <v>207</v>
      </c>
      <c r="M42" s="185">
        <f>IF(ISBLANK(Materialedata[[#This Row],[A4-gruppe]]),BlankTegn,INDEX(Byggeproces[GWP],MATCH(Materialedata[[#This Row],[A4-gruppe]],Byggeproces[Gruppe/Undergruppe],0)))</f>
        <v>4.9099999999999998E-2</v>
      </c>
      <c r="N42" s="182">
        <v>967</v>
      </c>
      <c r="O42" s="182">
        <v>0</v>
      </c>
      <c r="P42" s="182">
        <v>-549</v>
      </c>
      <c r="Q42" s="277">
        <f>Materialedata[[#This Row],[A1-A3/standardenhed]]*Materialedata[[#This Row],[Mængde/m²]]</f>
        <v>-9.0359999999999996</v>
      </c>
      <c r="R42" s="278" cm="1">
        <f t="array" ref="R42">IFERROR(_xlfn.IFS(Materialedata[[#This Row],[Mængde-enhed]]="kg/m²",Materialedata[[#This Row],[A4/kg]]*Materialedata[[#This Row],[Mængde/m²]],Materialedata[[#This Row],[Mængde-enhed]]="m³/m²",Materialedata[[#This Row],[A4/kg]]*Materialedata[[#This Row],[Mængde/m²]]*Materialedata[[#This Row],[Densitet]]),"N/A")</f>
        <v>0.35764440000000003</v>
      </c>
      <c r="S42" s="277">
        <f>Materialedata[[#This Row],[C3/enhed]]*Materialedata[[#This Row],[Mængde/m²]]</f>
        <v>11.604000000000001</v>
      </c>
      <c r="T42" s="277">
        <f>Materialedata[[#This Row],[C4/enhed]]*Materialedata[[#This Row],[Mængde/m²]]</f>
        <v>0</v>
      </c>
      <c r="U42" s="277">
        <f>Materialedata[[#This Row],[D/enhed]]*Materialedata[[#This Row],[Mængde/m²]]</f>
        <v>-6.5880000000000001</v>
      </c>
      <c r="V42" s="150">
        <f>IFERROR(INDEX(Range_Materiale_Genbrug,MATCH(Materialedata[[#This Row],[Komponent]],Facadekomponenter,0)),BlankTegn)</f>
        <v>0</v>
      </c>
      <c r="W42" s="150">
        <f>IFERROR(1-Materialedata[[#This Row],[Genbrug]],BlankTegn)</f>
        <v>1</v>
      </c>
      <c r="X42" s="186">
        <f>IFERROR(Materialedata[[#This Row],[A1-A3/m²_nyt]]*Materialedata[[#This Row],[Nyt]],BlankTegn)</f>
        <v>-9.0359999999999996</v>
      </c>
      <c r="Y42" s="186">
        <f>Materialedata[[#This Row],[A4/m²_nyt]]</f>
        <v>0.35764440000000003</v>
      </c>
      <c r="Z42" s="186">
        <f>IFERROR(Materialedata[[#This Row],[C3/m²_nyt]]*Materialedata[[#This Row],[Nyt]],BlankTegn)</f>
        <v>11.604000000000001</v>
      </c>
      <c r="AA42" s="186">
        <f>IFERROR(Materialedata[[#This Row],[C4/m²_nyt]]*Materialedata[[#This Row],[Nyt]],BlankTegn)</f>
        <v>0</v>
      </c>
      <c r="AB42" s="186">
        <f>IFERROR(Materialedata[[#This Row],[D/m²_nyt]]*Materialedata[[#This Row],[Nyt]],BlankTegn)</f>
        <v>-6.5880000000000001</v>
      </c>
      <c r="AC42" s="187">
        <v>194.39</v>
      </c>
      <c r="AD42" s="188" t="s">
        <v>29</v>
      </c>
      <c r="AE42" s="182">
        <v>1</v>
      </c>
      <c r="AF42" s="189">
        <f>Materialedata[[#This Row],[Pris/enhed]]*Materialedata[[#This Row],[Omregning]]</f>
        <v>194.39</v>
      </c>
      <c r="AG42" s="190">
        <v>0.02</v>
      </c>
      <c r="AH42" s="191">
        <v>1</v>
      </c>
      <c r="AI42" s="162">
        <v>0</v>
      </c>
      <c r="AJ42" s="141">
        <f>IF(AJ$2&gt;Input_Tidshorisont,BlankTegn,IF(AJ$2=0,SUM(Materialedata[[#This Row],[A1-A3/m²]:[A4/m²]]),
AI42+IF(AJ$2=Input_Tidshorisont,SUM(Materialedata[[#This Row],[C3/m²]:[C4/m²]]),IF(MOD(AJ$2,Materialedata[[#This Row],[Levetid]])=0,SUM(Materialedata[[#This Row],[A1-A3/m²]:[C4/m²]]),0))
))</f>
        <v>-8.6783555999999997</v>
      </c>
      <c r="AK42" s="141">
        <f>IF(AK$2&gt;Input_Tidshorisont,BlankTegn,IF(AK$2=0,SUM(Materialedata[[#This Row],[A1-A3/m²]:[A4/m²]]),
AJ42+IF(AK$2=Input_Tidshorisont,SUM(Materialedata[[#This Row],[C3/m²]:[C4/m²]]),IF(MOD(AK$2,Materialedata[[#This Row],[Levetid]])=0,SUM(Materialedata[[#This Row],[A1-A3/m²]:[C4/m²]]),0))
))</f>
        <v>-8.6783555999999997</v>
      </c>
      <c r="AL42" s="141">
        <f>IF(AL$2&gt;Input_Tidshorisont,BlankTegn,IF(AL$2=0,SUM(Materialedata[[#This Row],[A1-A3/m²]:[A4/m²]]),
AK42+IF(AL$2=Input_Tidshorisont,SUM(Materialedata[[#This Row],[C3/m²]:[C4/m²]]),IF(MOD(AL$2,Materialedata[[#This Row],[Levetid]])=0,SUM(Materialedata[[#This Row],[A1-A3/m²]:[C4/m²]]),0))
))</f>
        <v>-8.6783555999999997</v>
      </c>
      <c r="AM42" s="141">
        <f>IF(AM$2&gt;Input_Tidshorisont,BlankTegn,IF(AM$2=0,SUM(Materialedata[[#This Row],[A1-A3/m²]:[A4/m²]]),
AL42+IF(AM$2=Input_Tidshorisont,SUM(Materialedata[[#This Row],[C3/m²]:[C4/m²]]),IF(MOD(AM$2,Materialedata[[#This Row],[Levetid]])=0,SUM(Materialedata[[#This Row],[A1-A3/m²]:[C4/m²]]),0))
))</f>
        <v>-8.6783555999999997</v>
      </c>
      <c r="AN42" s="141">
        <f>IF(AN$2&gt;Input_Tidshorisont,BlankTegn,IF(AN$2=0,SUM(Materialedata[[#This Row],[A1-A3/m²]:[A4/m²]]),
AM42+IF(AN$2=Input_Tidshorisont,SUM(Materialedata[[#This Row],[C3/m²]:[C4/m²]]),IF(MOD(AN$2,Materialedata[[#This Row],[Levetid]])=0,SUM(Materialedata[[#This Row],[A1-A3/m²]:[C4/m²]]),0))
))</f>
        <v>-8.6783555999999997</v>
      </c>
      <c r="AO42" s="141">
        <f>IF(AO$2&gt;Input_Tidshorisont,BlankTegn,IF(AO$2=0,SUM(Materialedata[[#This Row],[A1-A3/m²]:[A4/m²]]),
AN42+IF(AO$2=Input_Tidshorisont,SUM(Materialedata[[#This Row],[C3/m²]:[C4/m²]]),IF(MOD(AO$2,Materialedata[[#This Row],[Levetid]])=0,SUM(Materialedata[[#This Row],[A1-A3/m²]:[C4/m²]]),0))
))</f>
        <v>-8.6783555999999997</v>
      </c>
      <c r="AP42" s="141">
        <f>IF(AP$2&gt;Input_Tidshorisont,BlankTegn,IF(AP$2=0,SUM(Materialedata[[#This Row],[A1-A3/m²]:[A4/m²]]),
AO42+IF(AP$2=Input_Tidshorisont,SUM(Materialedata[[#This Row],[C3/m²]:[C4/m²]]),IF(MOD(AP$2,Materialedata[[#This Row],[Levetid]])=0,SUM(Materialedata[[#This Row],[A1-A3/m²]:[C4/m²]]),0))
))</f>
        <v>-8.6783555999999997</v>
      </c>
      <c r="AQ42" s="141">
        <f>IF(AQ$2&gt;Input_Tidshorisont,BlankTegn,IF(AQ$2=0,SUM(Materialedata[[#This Row],[A1-A3/m²]:[A4/m²]]),
AP42+IF(AQ$2=Input_Tidshorisont,SUM(Materialedata[[#This Row],[C3/m²]:[C4/m²]]),IF(MOD(AQ$2,Materialedata[[#This Row],[Levetid]])=0,SUM(Materialedata[[#This Row],[A1-A3/m²]:[C4/m²]]),0))
))</f>
        <v>-8.6783555999999997</v>
      </c>
      <c r="AR42" s="141">
        <f>IF(AR$2&gt;Input_Tidshorisont,BlankTegn,IF(AR$2=0,SUM(Materialedata[[#This Row],[A1-A3/m²]:[A4/m²]]),
AQ42+IF(AR$2=Input_Tidshorisont,SUM(Materialedata[[#This Row],[C3/m²]:[C4/m²]]),IF(MOD(AR$2,Materialedata[[#This Row],[Levetid]])=0,SUM(Materialedata[[#This Row],[A1-A3/m²]:[C4/m²]]),0))
))</f>
        <v>-8.6783555999999997</v>
      </c>
      <c r="AS42" s="141">
        <f>IF(AS$2&gt;Input_Tidshorisont,BlankTegn,IF(AS$2=0,SUM(Materialedata[[#This Row],[A1-A3/m²]:[A4/m²]]),
AR42+IF(AS$2=Input_Tidshorisont,SUM(Materialedata[[#This Row],[C3/m²]:[C4/m²]]),IF(MOD(AS$2,Materialedata[[#This Row],[Levetid]])=0,SUM(Materialedata[[#This Row],[A1-A3/m²]:[C4/m²]]),0))
))</f>
        <v>-8.6783555999999997</v>
      </c>
      <c r="AT42" s="141">
        <f>IF(AT$2&gt;Input_Tidshorisont,BlankTegn,IF(AT$2=0,SUM(Materialedata[[#This Row],[A1-A3/m²]:[A4/m²]]),
AS42+IF(AT$2=Input_Tidshorisont,SUM(Materialedata[[#This Row],[C3/m²]:[C4/m²]]),IF(MOD(AT$2,Materialedata[[#This Row],[Levetid]])=0,SUM(Materialedata[[#This Row],[A1-A3/m²]:[C4/m²]]),0))
))</f>
        <v>-8.6783555999999997</v>
      </c>
      <c r="AU42" s="141">
        <f>IF(AU$2&gt;Input_Tidshorisont,BlankTegn,IF(AU$2=0,SUM(Materialedata[[#This Row],[A1-A3/m²]:[A4/m²]]),
AT42+IF(AU$2=Input_Tidshorisont,SUM(Materialedata[[#This Row],[C3/m²]:[C4/m²]]),IF(MOD(AU$2,Materialedata[[#This Row],[Levetid]])=0,SUM(Materialedata[[#This Row],[A1-A3/m²]:[C4/m²]]),0))
))</f>
        <v>-8.6783555999999997</v>
      </c>
      <c r="AV42" s="141">
        <f>IF(AV$2&gt;Input_Tidshorisont,BlankTegn,IF(AV$2=0,SUM(Materialedata[[#This Row],[A1-A3/m²]:[A4/m²]]),
AU42+IF(AV$2=Input_Tidshorisont,SUM(Materialedata[[#This Row],[C3/m²]:[C4/m²]]),IF(MOD(AV$2,Materialedata[[#This Row],[Levetid]])=0,SUM(Materialedata[[#This Row],[A1-A3/m²]:[C4/m²]]),0))
))</f>
        <v>-8.6783555999999997</v>
      </c>
      <c r="AW42" s="141">
        <f>IF(AW$2&gt;Input_Tidshorisont,BlankTegn,IF(AW$2=0,SUM(Materialedata[[#This Row],[A1-A3/m²]:[A4/m²]]),
AV42+IF(AW$2=Input_Tidshorisont,SUM(Materialedata[[#This Row],[C3/m²]:[C4/m²]]),IF(MOD(AW$2,Materialedata[[#This Row],[Levetid]])=0,SUM(Materialedata[[#This Row],[A1-A3/m²]:[C4/m²]]),0))
))</f>
        <v>-8.6783555999999997</v>
      </c>
      <c r="AX42" s="141">
        <f>IF(AX$2&gt;Input_Tidshorisont,BlankTegn,IF(AX$2=0,SUM(Materialedata[[#This Row],[A1-A3/m²]:[A4/m²]]),
AW42+IF(AX$2=Input_Tidshorisont,SUM(Materialedata[[#This Row],[C3/m²]:[C4/m²]]),IF(MOD(AX$2,Materialedata[[#This Row],[Levetid]])=0,SUM(Materialedata[[#This Row],[A1-A3/m²]:[C4/m²]]),0))
))</f>
        <v>-8.6783555999999997</v>
      </c>
      <c r="AY42" s="141">
        <f>IF(AY$2&gt;Input_Tidshorisont,BlankTegn,IF(AY$2=0,SUM(Materialedata[[#This Row],[A1-A3/m²]:[A4/m²]]),
AX42+IF(AY$2=Input_Tidshorisont,SUM(Materialedata[[#This Row],[C3/m²]:[C4/m²]]),IF(MOD(AY$2,Materialedata[[#This Row],[Levetid]])=0,SUM(Materialedata[[#This Row],[A1-A3/m²]:[C4/m²]]),0))
))</f>
        <v>-8.6783555999999997</v>
      </c>
      <c r="AZ42" s="141">
        <f>IF(AZ$2&gt;Input_Tidshorisont,BlankTegn,IF(AZ$2=0,SUM(Materialedata[[#This Row],[A1-A3/m²]:[A4/m²]]),
AY42+IF(AZ$2=Input_Tidshorisont,SUM(Materialedata[[#This Row],[C3/m²]:[C4/m²]]),IF(MOD(AZ$2,Materialedata[[#This Row],[Levetid]])=0,SUM(Materialedata[[#This Row],[A1-A3/m²]:[C4/m²]]),0))
))</f>
        <v>-8.6783555999999997</v>
      </c>
      <c r="BA42" s="141">
        <f>IF(BA$2&gt;Input_Tidshorisont,BlankTegn,IF(BA$2=0,SUM(Materialedata[[#This Row],[A1-A3/m²]:[A4/m²]]),
AZ42+IF(BA$2=Input_Tidshorisont,SUM(Materialedata[[#This Row],[C3/m²]:[C4/m²]]),IF(MOD(BA$2,Materialedata[[#This Row],[Levetid]])=0,SUM(Materialedata[[#This Row],[A1-A3/m²]:[C4/m²]]),0))
))</f>
        <v>-8.6783555999999997</v>
      </c>
      <c r="BB42" s="141">
        <f>IF(BB$2&gt;Input_Tidshorisont,BlankTegn,IF(BB$2=0,SUM(Materialedata[[#This Row],[A1-A3/m²]:[A4/m²]]),
BA42+IF(BB$2=Input_Tidshorisont,SUM(Materialedata[[#This Row],[C3/m²]:[C4/m²]]),IF(MOD(BB$2,Materialedata[[#This Row],[Levetid]])=0,SUM(Materialedata[[#This Row],[A1-A3/m²]:[C4/m²]]),0))
))</f>
        <v>-8.6783555999999997</v>
      </c>
      <c r="BC42" s="141">
        <f>IF(BC$2&gt;Input_Tidshorisont,BlankTegn,IF(BC$2=0,SUM(Materialedata[[#This Row],[A1-A3/m²]:[A4/m²]]),
BB42+IF(BC$2=Input_Tidshorisont,SUM(Materialedata[[#This Row],[C3/m²]:[C4/m²]]),IF(MOD(BC$2,Materialedata[[#This Row],[Levetid]])=0,SUM(Materialedata[[#This Row],[A1-A3/m²]:[C4/m²]]),0))
))</f>
        <v>-8.6783555999999997</v>
      </c>
      <c r="BD42" s="141">
        <f>IF(BD$2&gt;Input_Tidshorisont,BlankTegn,IF(BD$2=0,SUM(Materialedata[[#This Row],[A1-A3/m²]:[A4/m²]]),
BC42+IF(BD$2=Input_Tidshorisont,SUM(Materialedata[[#This Row],[C3/m²]:[C4/m²]]),IF(MOD(BD$2,Materialedata[[#This Row],[Levetid]])=0,SUM(Materialedata[[#This Row],[A1-A3/m²]:[C4/m²]]),0))
))</f>
        <v>-8.6783555999999997</v>
      </c>
      <c r="BE42" s="141">
        <f>IF(BE$2&gt;Input_Tidshorisont,BlankTegn,IF(BE$2=0,SUM(Materialedata[[#This Row],[A1-A3/m²]:[A4/m²]]),
BD42+IF(BE$2=Input_Tidshorisont,SUM(Materialedata[[#This Row],[C3/m²]:[C4/m²]]),IF(MOD(BE$2,Materialedata[[#This Row],[Levetid]])=0,SUM(Materialedata[[#This Row],[A1-A3/m²]:[C4/m²]]),0))
))</f>
        <v>-8.6783555999999997</v>
      </c>
      <c r="BF42" s="141">
        <f>IF(BF$2&gt;Input_Tidshorisont,BlankTegn,IF(BF$2=0,SUM(Materialedata[[#This Row],[A1-A3/m²]:[A4/m²]]),
BE42+IF(BF$2=Input_Tidshorisont,SUM(Materialedata[[#This Row],[C3/m²]:[C4/m²]]),IF(MOD(BF$2,Materialedata[[#This Row],[Levetid]])=0,SUM(Materialedata[[#This Row],[A1-A3/m²]:[C4/m²]]),0))
))</f>
        <v>-8.6783555999999997</v>
      </c>
      <c r="BG42" s="141">
        <f>IF(BG$2&gt;Input_Tidshorisont,BlankTegn,IF(BG$2=0,SUM(Materialedata[[#This Row],[A1-A3/m²]:[A4/m²]]),
BF42+IF(BG$2=Input_Tidshorisont,SUM(Materialedata[[#This Row],[C3/m²]:[C4/m²]]),IF(MOD(BG$2,Materialedata[[#This Row],[Levetid]])=0,SUM(Materialedata[[#This Row],[A1-A3/m²]:[C4/m²]]),0))
))</f>
        <v>-8.6783555999999997</v>
      </c>
      <c r="BH42" s="141">
        <f>IF(BH$2&gt;Input_Tidshorisont,BlankTegn,IF(BH$2=0,SUM(Materialedata[[#This Row],[A1-A3/m²]:[A4/m²]]),
BG42+IF(BH$2=Input_Tidshorisont,SUM(Materialedata[[#This Row],[C3/m²]:[C4/m²]]),IF(MOD(BH$2,Materialedata[[#This Row],[Levetid]])=0,SUM(Materialedata[[#This Row],[A1-A3/m²]:[C4/m²]]),0))
))</f>
        <v>-8.6783555999999997</v>
      </c>
      <c r="BI42" s="141">
        <f>IF(BI$2&gt;Input_Tidshorisont,BlankTegn,IF(BI$2=0,SUM(Materialedata[[#This Row],[A1-A3/m²]:[A4/m²]]),
BH42+IF(BI$2=Input_Tidshorisont,SUM(Materialedata[[#This Row],[C3/m²]:[C4/m²]]),IF(MOD(BI$2,Materialedata[[#This Row],[Levetid]])=0,SUM(Materialedata[[#This Row],[A1-A3/m²]:[C4/m²]]),0))
))</f>
        <v>-8.6783555999999997</v>
      </c>
      <c r="BJ42" s="141">
        <f>IF(BJ$2&gt;Input_Tidshorisont,BlankTegn,IF(BJ$2=0,SUM(Materialedata[[#This Row],[A1-A3/m²]:[A4/m²]]),
BI42+IF(BJ$2=Input_Tidshorisont,SUM(Materialedata[[#This Row],[C3/m²]:[C4/m²]]),IF(MOD(BJ$2,Materialedata[[#This Row],[Levetid]])=0,SUM(Materialedata[[#This Row],[A1-A3/m²]:[C4/m²]]),0))
))</f>
        <v>-8.6783555999999997</v>
      </c>
      <c r="BK42" s="141">
        <f>IF(BK$2&gt;Input_Tidshorisont,BlankTegn,IF(BK$2=0,SUM(Materialedata[[#This Row],[A1-A3/m²]:[A4/m²]]),
BJ42+IF(BK$2=Input_Tidshorisont,SUM(Materialedata[[#This Row],[C3/m²]:[C4/m²]]),IF(MOD(BK$2,Materialedata[[#This Row],[Levetid]])=0,SUM(Materialedata[[#This Row],[A1-A3/m²]:[C4/m²]]),0))
))</f>
        <v>-8.6783555999999997</v>
      </c>
      <c r="BL42" s="141">
        <f>IF(BL$2&gt;Input_Tidshorisont,BlankTegn,IF(BL$2=0,SUM(Materialedata[[#This Row],[A1-A3/m²]:[A4/m²]]),
BK42+IF(BL$2=Input_Tidshorisont,SUM(Materialedata[[#This Row],[C3/m²]:[C4/m²]]),IF(MOD(BL$2,Materialedata[[#This Row],[Levetid]])=0,SUM(Materialedata[[#This Row],[A1-A3/m²]:[C4/m²]]),0))
))</f>
        <v>-8.6783555999999997</v>
      </c>
      <c r="BM42" s="141">
        <f>IF(BM$2&gt;Input_Tidshorisont,BlankTegn,IF(BM$2=0,SUM(Materialedata[[#This Row],[A1-A3/m²]:[A4/m²]]),
BL42+IF(BM$2=Input_Tidshorisont,SUM(Materialedata[[#This Row],[C3/m²]:[C4/m²]]),IF(MOD(BM$2,Materialedata[[#This Row],[Levetid]])=0,SUM(Materialedata[[#This Row],[A1-A3/m²]:[C4/m²]]),0))
))</f>
        <v>-8.6783555999999997</v>
      </c>
      <c r="BN42" s="141">
        <f>IF(BN$2&gt;Input_Tidshorisont,BlankTegn,IF(BN$2=0,SUM(Materialedata[[#This Row],[A1-A3/m²]:[A4/m²]]),
BM42+IF(BN$2=Input_Tidshorisont,SUM(Materialedata[[#This Row],[C3/m²]:[C4/m²]]),IF(MOD(BN$2,Materialedata[[#This Row],[Levetid]])=0,SUM(Materialedata[[#This Row],[A1-A3/m²]:[C4/m²]]),0))
))</f>
        <v>-8.6783555999999997</v>
      </c>
      <c r="BO42" s="141">
        <f>IF(BO$2&gt;Input_Tidshorisont,BlankTegn,IF(BO$2=0,SUM(Materialedata[[#This Row],[A1-A3/m²]:[A4/m²]]),
BN42+IF(BO$2=Input_Tidshorisont,SUM(Materialedata[[#This Row],[C3/m²]:[C4/m²]]),IF(MOD(BO$2,Materialedata[[#This Row],[Levetid]])=0,SUM(Materialedata[[#This Row],[A1-A3/m²]:[C4/m²]]),0))
))</f>
        <v>-8.6783555999999997</v>
      </c>
      <c r="BP42" s="141">
        <f>IF(BP$2&gt;Input_Tidshorisont,BlankTegn,IF(BP$2=0,SUM(Materialedata[[#This Row],[A1-A3/m²]:[A4/m²]]),
BO42+IF(BP$2=Input_Tidshorisont,SUM(Materialedata[[#This Row],[C3/m²]:[C4/m²]]),IF(MOD(BP$2,Materialedata[[#This Row],[Levetid]])=0,SUM(Materialedata[[#This Row],[A1-A3/m²]:[C4/m²]]),0))
))</f>
        <v>-8.6783555999999997</v>
      </c>
      <c r="BQ42" s="141">
        <f>IF(BQ$2&gt;Input_Tidshorisont,BlankTegn,IF(BQ$2=0,SUM(Materialedata[[#This Row],[A1-A3/m²]:[A4/m²]]),
BP42+IF(BQ$2=Input_Tidshorisont,SUM(Materialedata[[#This Row],[C3/m²]:[C4/m²]]),IF(MOD(BQ$2,Materialedata[[#This Row],[Levetid]])=0,SUM(Materialedata[[#This Row],[A1-A3/m²]:[C4/m²]]),0))
))</f>
        <v>-8.6783555999999997</v>
      </c>
      <c r="BR42" s="141">
        <f>IF(BR$2&gt;Input_Tidshorisont,BlankTegn,IF(BR$2=0,SUM(Materialedata[[#This Row],[A1-A3/m²]:[A4/m²]]),
BQ42+IF(BR$2=Input_Tidshorisont,SUM(Materialedata[[#This Row],[C3/m²]:[C4/m²]]),IF(MOD(BR$2,Materialedata[[#This Row],[Levetid]])=0,SUM(Materialedata[[#This Row],[A1-A3/m²]:[C4/m²]]),0))
))</f>
        <v>-8.6783555999999997</v>
      </c>
      <c r="BS42" s="141">
        <f>IF(BS$2&gt;Input_Tidshorisont,BlankTegn,IF(BS$2=0,SUM(Materialedata[[#This Row],[A1-A3/m²]:[A4/m²]]),
BR42+IF(BS$2=Input_Tidshorisont,SUM(Materialedata[[#This Row],[C3/m²]:[C4/m²]]),IF(MOD(BS$2,Materialedata[[#This Row],[Levetid]])=0,SUM(Materialedata[[#This Row],[A1-A3/m²]:[C4/m²]]),0))
))</f>
        <v>-8.6783555999999997</v>
      </c>
      <c r="BT42" s="141">
        <f>IF(BT$2&gt;Input_Tidshorisont,BlankTegn,IF(BT$2=0,SUM(Materialedata[[#This Row],[A1-A3/m²]:[A4/m²]]),
BS42+IF(BT$2=Input_Tidshorisont,SUM(Materialedata[[#This Row],[C3/m²]:[C4/m²]]),IF(MOD(BT$2,Materialedata[[#This Row],[Levetid]])=0,SUM(Materialedata[[#This Row],[A1-A3/m²]:[C4/m²]]),0))
))</f>
        <v>-8.6783555999999997</v>
      </c>
      <c r="BU42" s="141">
        <f>IF(BU$2&gt;Input_Tidshorisont,BlankTegn,IF(BU$2=0,SUM(Materialedata[[#This Row],[A1-A3/m²]:[A4/m²]]),
BT42+IF(BU$2=Input_Tidshorisont,SUM(Materialedata[[#This Row],[C3/m²]:[C4/m²]]),IF(MOD(BU$2,Materialedata[[#This Row],[Levetid]])=0,SUM(Materialedata[[#This Row],[A1-A3/m²]:[C4/m²]]),0))
))</f>
        <v>-8.6783555999999997</v>
      </c>
      <c r="BV42" s="141">
        <f>IF(BV$2&gt;Input_Tidshorisont,BlankTegn,IF(BV$2=0,SUM(Materialedata[[#This Row],[A1-A3/m²]:[A4/m²]]),
BU42+IF(BV$2=Input_Tidshorisont,SUM(Materialedata[[#This Row],[C3/m²]:[C4/m²]]),IF(MOD(BV$2,Materialedata[[#This Row],[Levetid]])=0,SUM(Materialedata[[#This Row],[A1-A3/m²]:[C4/m²]]),0))
))</f>
        <v>-8.6783555999999997</v>
      </c>
      <c r="BW42" s="141">
        <f>IF(BW$2&gt;Input_Tidshorisont,BlankTegn,IF(BW$2=0,SUM(Materialedata[[#This Row],[A1-A3/m²]:[A4/m²]]),
BV42+IF(BW$2=Input_Tidshorisont,SUM(Materialedata[[#This Row],[C3/m²]:[C4/m²]]),IF(MOD(BW$2,Materialedata[[#This Row],[Levetid]])=0,SUM(Materialedata[[#This Row],[A1-A3/m²]:[C4/m²]]),0))
))</f>
        <v>-8.6783555999999997</v>
      </c>
      <c r="BX42" s="141">
        <f>IF(BX$2&gt;Input_Tidshorisont,BlankTegn,IF(BX$2=0,SUM(Materialedata[[#This Row],[A1-A3/m²]:[A4/m²]]),
BW42+IF(BX$2=Input_Tidshorisont,SUM(Materialedata[[#This Row],[C3/m²]:[C4/m²]]),IF(MOD(BX$2,Materialedata[[#This Row],[Levetid]])=0,SUM(Materialedata[[#This Row],[A1-A3/m²]:[C4/m²]]),0))
))</f>
        <v>-8.6783555999999997</v>
      </c>
      <c r="BY42" s="141">
        <f>IF(BY$2&gt;Input_Tidshorisont,BlankTegn,IF(BY$2=0,SUM(Materialedata[[#This Row],[A1-A3/m²]:[A4/m²]]),
BX42+IF(BY$2=Input_Tidshorisont,SUM(Materialedata[[#This Row],[C3/m²]:[C4/m²]]),IF(MOD(BY$2,Materialedata[[#This Row],[Levetid]])=0,SUM(Materialedata[[#This Row],[A1-A3/m²]:[C4/m²]]),0))
))</f>
        <v>-8.6783555999999997</v>
      </c>
      <c r="BZ42" s="141">
        <f>IF(BZ$2&gt;Input_Tidshorisont,BlankTegn,IF(BZ$2=0,SUM(Materialedata[[#This Row],[A1-A3/m²]:[A4/m²]]),
BY42+IF(BZ$2=Input_Tidshorisont,SUM(Materialedata[[#This Row],[C3/m²]:[C4/m²]]),IF(MOD(BZ$2,Materialedata[[#This Row],[Levetid]])=0,SUM(Materialedata[[#This Row],[A1-A3/m²]:[C4/m²]]),0))
))</f>
        <v>-8.6783555999999997</v>
      </c>
      <c r="CA42" s="141">
        <f>IF(CA$2&gt;Input_Tidshorisont,BlankTegn,IF(CA$2=0,SUM(Materialedata[[#This Row],[A1-A3/m²]:[A4/m²]]),
BZ42+IF(CA$2=Input_Tidshorisont,SUM(Materialedata[[#This Row],[C3/m²]:[C4/m²]]),IF(MOD(CA$2,Materialedata[[#This Row],[Levetid]])=0,SUM(Materialedata[[#This Row],[A1-A3/m²]:[C4/m²]]),0))
))</f>
        <v>-8.6783555999999997</v>
      </c>
      <c r="CB42" s="141">
        <f>IF(CB$2&gt;Input_Tidshorisont,BlankTegn,IF(CB$2=0,SUM(Materialedata[[#This Row],[A1-A3/m²]:[A4/m²]]),
CA42+IF(CB$2=Input_Tidshorisont,SUM(Materialedata[[#This Row],[C3/m²]:[C4/m²]]),IF(MOD(CB$2,Materialedata[[#This Row],[Levetid]])=0,SUM(Materialedata[[#This Row],[A1-A3/m²]:[C4/m²]]),0))
))</f>
        <v>-8.6783555999999997</v>
      </c>
      <c r="CC42" s="141">
        <f>IF(CC$2&gt;Input_Tidshorisont,BlankTegn,IF(CC$2=0,SUM(Materialedata[[#This Row],[A1-A3/m²]:[A4/m²]]),
CB42+IF(CC$2=Input_Tidshorisont,SUM(Materialedata[[#This Row],[C3/m²]:[C4/m²]]),IF(MOD(CC$2,Materialedata[[#This Row],[Levetid]])=0,SUM(Materialedata[[#This Row],[A1-A3/m²]:[C4/m²]]),0))
))</f>
        <v>-8.6783555999999997</v>
      </c>
      <c r="CD42" s="141">
        <f>IF(CD$2&gt;Input_Tidshorisont,BlankTegn,IF(CD$2=0,SUM(Materialedata[[#This Row],[A1-A3/m²]:[A4/m²]]),
CC42+IF(CD$2=Input_Tidshorisont,SUM(Materialedata[[#This Row],[C3/m²]:[C4/m²]]),IF(MOD(CD$2,Materialedata[[#This Row],[Levetid]])=0,SUM(Materialedata[[#This Row],[A1-A3/m²]:[C4/m²]]),0))
))</f>
        <v>-8.6783555999999997</v>
      </c>
      <c r="CE42" s="141">
        <f>IF(CE$2&gt;Input_Tidshorisont,BlankTegn,IF(CE$2=0,SUM(Materialedata[[#This Row],[A1-A3/m²]:[A4/m²]]),
CD42+IF(CE$2=Input_Tidshorisont,SUM(Materialedata[[#This Row],[C3/m²]:[C4/m²]]),IF(MOD(CE$2,Materialedata[[#This Row],[Levetid]])=0,SUM(Materialedata[[#This Row],[A1-A3/m²]:[C4/m²]]),0))
))</f>
        <v>-8.6783555999999997</v>
      </c>
      <c r="CF42" s="141">
        <f>IF(CF$2&gt;Input_Tidshorisont,BlankTegn,IF(CF$2=0,SUM(Materialedata[[#This Row],[A1-A3/m²]:[A4/m²]]),
CE42+IF(CF$2=Input_Tidshorisont,SUM(Materialedata[[#This Row],[C3/m²]:[C4/m²]]),IF(MOD(CF$2,Materialedata[[#This Row],[Levetid]])=0,SUM(Materialedata[[#This Row],[A1-A3/m²]:[C4/m²]]),0))
))</f>
        <v>-8.6783555999999997</v>
      </c>
      <c r="CG42" s="141">
        <f>IF(CG$2&gt;Input_Tidshorisont,BlankTegn,IF(CG$2=0,SUM(Materialedata[[#This Row],[A1-A3/m²]:[A4/m²]]),
CF42+IF(CG$2=Input_Tidshorisont,SUM(Materialedata[[#This Row],[C3/m²]:[C4/m²]]),IF(MOD(CG$2,Materialedata[[#This Row],[Levetid]])=0,SUM(Materialedata[[#This Row],[A1-A3/m²]:[C4/m²]]),0))
))</f>
        <v>-8.6783555999999997</v>
      </c>
      <c r="CH42" s="141">
        <f>IF(CH$2&gt;Input_Tidshorisont,BlankTegn,IF(CH$2=0,SUM(Materialedata[[#This Row],[A1-A3/m²]:[A4/m²]]),
CG42+IF(CH$2=Input_Tidshorisont,SUM(Materialedata[[#This Row],[C3/m²]:[C4/m²]]),IF(MOD(CH$2,Materialedata[[#This Row],[Levetid]])=0,SUM(Materialedata[[#This Row],[A1-A3/m²]:[C4/m²]]),0))
))</f>
        <v>2.9256444000000013</v>
      </c>
      <c r="CI42" s="141" t="str">
        <f>IF(CI$2&gt;Input_Tidshorisont,BlankTegn,IF(CI$2=0,SUM(Materialedata[[#This Row],[A1-A3/m²]:[A4/m²]]),
CH42+IF(CI$2=Input_Tidshorisont,SUM(Materialedata[[#This Row],[C3/m²]:[C4/m²]]),IF(MOD(CI$2,Materialedata[[#This Row],[Levetid]])=0,SUM(Materialedata[[#This Row],[A1-A3/m²]:[C4/m²]]),0))
))</f>
        <v>.</v>
      </c>
      <c r="CJ42" s="141" t="str">
        <f>IF(CJ$2&gt;Input_Tidshorisont,BlankTegn,IF(CJ$2=0,SUM(Materialedata[[#This Row],[A1-A3/m²]:[A4/m²]]),
CI42+IF(CJ$2=Input_Tidshorisont,SUM(Materialedata[[#This Row],[C3/m²]:[C4/m²]]),IF(MOD(CJ$2,Materialedata[[#This Row],[Levetid]])=0,SUM(Materialedata[[#This Row],[A1-A3/m²]:[C4/m²]]),0))
))</f>
        <v>.</v>
      </c>
      <c r="CK42" s="141" t="str">
        <f>IF(CK$2&gt;Input_Tidshorisont,BlankTegn,IF(CK$2=0,SUM(Materialedata[[#This Row],[A1-A3/m²]:[A4/m²]]),
CJ42+IF(CK$2=Input_Tidshorisont,SUM(Materialedata[[#This Row],[C3/m²]:[C4/m²]]),IF(MOD(CK$2,Materialedata[[#This Row],[Levetid]])=0,SUM(Materialedata[[#This Row],[A1-A3/m²]:[C4/m²]]),0))
))</f>
        <v>.</v>
      </c>
      <c r="CL42" s="141" t="str">
        <f>IF(CL$2&gt;Input_Tidshorisont,BlankTegn,IF(CL$2=0,SUM(Materialedata[[#This Row],[A1-A3/m²]:[A4/m²]]),
CK42+IF(CL$2=Input_Tidshorisont,SUM(Materialedata[[#This Row],[C3/m²]:[C4/m²]]),IF(MOD(CL$2,Materialedata[[#This Row],[Levetid]])=0,SUM(Materialedata[[#This Row],[A1-A3/m²]:[C4/m²]]),0))
))</f>
        <v>.</v>
      </c>
      <c r="CM42" s="141" t="str">
        <f>IF(CM$2&gt;Input_Tidshorisont,BlankTegn,IF(CM$2=0,SUM(Materialedata[[#This Row],[A1-A3/m²]:[A4/m²]]),
CL42+IF(CM$2=Input_Tidshorisont,SUM(Materialedata[[#This Row],[C3/m²]:[C4/m²]]),IF(MOD(CM$2,Materialedata[[#This Row],[Levetid]])=0,SUM(Materialedata[[#This Row],[A1-A3/m²]:[C4/m²]]),0))
))</f>
        <v>.</v>
      </c>
      <c r="CN42" s="141" t="str">
        <f>IF(CN$2&gt;Input_Tidshorisont,BlankTegn,IF(CN$2=0,SUM(Materialedata[[#This Row],[A1-A3/m²]:[A4/m²]]),
CM42+IF(CN$2=Input_Tidshorisont,SUM(Materialedata[[#This Row],[C3/m²]:[C4/m²]]),IF(MOD(CN$2,Materialedata[[#This Row],[Levetid]])=0,SUM(Materialedata[[#This Row],[A1-A3/m²]:[C4/m²]]),0))
))</f>
        <v>.</v>
      </c>
      <c r="CO42" s="141" t="str">
        <f>IF(CO$2&gt;Input_Tidshorisont,BlankTegn,IF(CO$2=0,SUM(Materialedata[[#This Row],[A1-A3/m²]:[A4/m²]]),
CN42+IF(CO$2=Input_Tidshorisont,SUM(Materialedata[[#This Row],[C3/m²]:[C4/m²]]),IF(MOD(CO$2,Materialedata[[#This Row],[Levetid]])=0,SUM(Materialedata[[#This Row],[A1-A3/m²]:[C4/m²]]),0))
))</f>
        <v>.</v>
      </c>
      <c r="CP42" s="141" t="str">
        <f>IF(CP$2&gt;Input_Tidshorisont,BlankTegn,IF(CP$2=0,SUM(Materialedata[[#This Row],[A1-A3/m²]:[A4/m²]]),
CO42+IF(CP$2=Input_Tidshorisont,SUM(Materialedata[[#This Row],[C3/m²]:[C4/m²]]),IF(MOD(CP$2,Materialedata[[#This Row],[Levetid]])=0,SUM(Materialedata[[#This Row],[A1-A3/m²]:[C4/m²]]),0))
))</f>
        <v>.</v>
      </c>
      <c r="CQ42" s="141" t="str">
        <f>IF(CQ$2&gt;Input_Tidshorisont,BlankTegn,IF(CQ$2=0,SUM(Materialedata[[#This Row],[A1-A3/m²]:[A4/m²]]),
CP42+IF(CQ$2=Input_Tidshorisont,SUM(Materialedata[[#This Row],[C3/m²]:[C4/m²]]),IF(MOD(CQ$2,Materialedata[[#This Row],[Levetid]])=0,SUM(Materialedata[[#This Row],[A1-A3/m²]:[C4/m²]]),0))
))</f>
        <v>.</v>
      </c>
      <c r="CR42" s="141" t="str">
        <f>IF(CR$2&gt;Input_Tidshorisont,BlankTegn,IF(CR$2=0,SUM(Materialedata[[#This Row],[A1-A3/m²]:[A4/m²]]),
CQ42+IF(CR$2=Input_Tidshorisont,SUM(Materialedata[[#This Row],[C3/m²]:[C4/m²]]),IF(MOD(CR$2,Materialedata[[#This Row],[Levetid]])=0,SUM(Materialedata[[#This Row],[A1-A3/m²]:[C4/m²]]),0))
))</f>
        <v>.</v>
      </c>
      <c r="CS42" s="141" t="str">
        <f>IF(CS$2&gt;Input_Tidshorisont,BlankTegn,IF(CS$2=0,SUM(Materialedata[[#This Row],[A1-A3/m²]:[A4/m²]]),
CR42+IF(CS$2=Input_Tidshorisont,SUM(Materialedata[[#This Row],[C3/m²]:[C4/m²]]),IF(MOD(CS$2,Materialedata[[#This Row],[Levetid]])=0,SUM(Materialedata[[#This Row],[A1-A3/m²]:[C4/m²]]),0))
))</f>
        <v>.</v>
      </c>
      <c r="CT42" s="141" t="str">
        <f>IF(CT$2&gt;Input_Tidshorisont,BlankTegn,IF(CT$2=0,SUM(Materialedata[[#This Row],[A1-A3/m²]:[A4/m²]]),
CS42+IF(CT$2=Input_Tidshorisont,SUM(Materialedata[[#This Row],[C3/m²]:[C4/m²]]),IF(MOD(CT$2,Materialedata[[#This Row],[Levetid]])=0,SUM(Materialedata[[#This Row],[A1-A3/m²]:[C4/m²]]),0))
))</f>
        <v>.</v>
      </c>
      <c r="CU42" s="141" t="str">
        <f>IF(CU$2&gt;Input_Tidshorisont,BlankTegn,IF(CU$2=0,SUM(Materialedata[[#This Row],[A1-A3/m²]:[A4/m²]]),
CT42+IF(CU$2=Input_Tidshorisont,SUM(Materialedata[[#This Row],[C3/m²]:[C4/m²]]),IF(MOD(CU$2,Materialedata[[#This Row],[Levetid]])=0,SUM(Materialedata[[#This Row],[A1-A3/m²]:[C4/m²]]),0))
))</f>
        <v>.</v>
      </c>
      <c r="CV42" s="141" t="str">
        <f>IF(CV$2&gt;Input_Tidshorisont,BlankTegn,IF(CV$2=0,SUM(Materialedata[[#This Row],[A1-A3/m²]:[A4/m²]]),
CU42+IF(CV$2=Input_Tidshorisont,SUM(Materialedata[[#This Row],[C3/m²]:[C4/m²]]),IF(MOD(CV$2,Materialedata[[#This Row],[Levetid]])=0,SUM(Materialedata[[#This Row],[A1-A3/m²]:[C4/m²]]),0))
))</f>
        <v>.</v>
      </c>
      <c r="CW42" s="141" t="str">
        <f>IF(CW$2&gt;Input_Tidshorisont,BlankTegn,IF(CW$2=0,SUM(Materialedata[[#This Row],[A1-A3/m²]:[A4/m²]]),
CV42+IF(CW$2=Input_Tidshorisont,SUM(Materialedata[[#This Row],[C3/m²]:[C4/m²]]),IF(MOD(CW$2,Materialedata[[#This Row],[Levetid]])=0,SUM(Materialedata[[#This Row],[A1-A3/m²]:[C4/m²]]),0))
))</f>
        <v>.</v>
      </c>
      <c r="CX42" s="141" t="str">
        <f>IF(CX$2&gt;Input_Tidshorisont,BlankTegn,IF(CX$2=0,SUM(Materialedata[[#This Row],[A1-A3/m²]:[A4/m²]]),
CW42+IF(CX$2=Input_Tidshorisont,SUM(Materialedata[[#This Row],[C3/m²]:[C4/m²]]),IF(MOD(CX$2,Materialedata[[#This Row],[Levetid]])=0,SUM(Materialedata[[#This Row],[A1-A3/m²]:[C4/m²]]),0))
))</f>
        <v>.</v>
      </c>
      <c r="CY42" s="141" t="str">
        <f>IF(CY$2&gt;Input_Tidshorisont,BlankTegn,IF(CY$2=0,SUM(Materialedata[[#This Row],[A1-A3/m²]:[A4/m²]]),
CX42+IF(CY$2=Input_Tidshorisont,SUM(Materialedata[[#This Row],[C3/m²]:[C4/m²]]),IF(MOD(CY$2,Materialedata[[#This Row],[Levetid]])=0,SUM(Materialedata[[#This Row],[A1-A3/m²]:[C4/m²]]),0))
))</f>
        <v>.</v>
      </c>
      <c r="CZ42" s="141" t="str">
        <f>IF(CZ$2&gt;Input_Tidshorisont,BlankTegn,IF(CZ$2=0,SUM(Materialedata[[#This Row],[A1-A3/m²]:[A4/m²]]),
CY42+IF(CZ$2=Input_Tidshorisont,SUM(Materialedata[[#This Row],[C3/m²]:[C4/m²]]),IF(MOD(CZ$2,Materialedata[[#This Row],[Levetid]])=0,SUM(Materialedata[[#This Row],[A1-A3/m²]:[C4/m²]]),0))
))</f>
        <v>.</v>
      </c>
      <c r="DA42" s="141" t="str">
        <f>IF(DA$2&gt;Input_Tidshorisont,BlankTegn,IF(DA$2=0,SUM(Materialedata[[#This Row],[A1-A3/m²]:[A4/m²]]),
CZ42+IF(DA$2=Input_Tidshorisont,SUM(Materialedata[[#This Row],[C3/m²]:[C4/m²]]),IF(MOD(DA$2,Materialedata[[#This Row],[Levetid]])=0,SUM(Materialedata[[#This Row],[A1-A3/m²]:[C4/m²]]),0))
))</f>
        <v>.</v>
      </c>
      <c r="DB42" s="141" t="str">
        <f>IF(DB$2&gt;Input_Tidshorisont,BlankTegn,IF(DB$2=0,SUM(Materialedata[[#This Row],[A1-A3/m²]:[A4/m²]]),
DA42+IF(DB$2=Input_Tidshorisont,SUM(Materialedata[[#This Row],[C3/m²]:[C4/m²]]),IF(MOD(DB$2,Materialedata[[#This Row],[Levetid]])=0,SUM(Materialedata[[#This Row],[A1-A3/m²]:[C4/m²]]),0))
))</f>
        <v>.</v>
      </c>
      <c r="DC42" s="141" t="str">
        <f>IF(DC$2&gt;Input_Tidshorisont,BlankTegn,IF(DC$2=0,SUM(Materialedata[[#This Row],[A1-A3/m²]:[A4/m²]]),
DB42+IF(DC$2=Input_Tidshorisont,SUM(Materialedata[[#This Row],[C3/m²]:[C4/m²]]),IF(MOD(DC$2,Materialedata[[#This Row],[Levetid]])=0,SUM(Materialedata[[#This Row],[A1-A3/m²]:[C4/m²]]),0))
))</f>
        <v>.</v>
      </c>
      <c r="DD42" s="141" t="str">
        <f>IF(DD$2&gt;Input_Tidshorisont,BlankTegn,IF(DD$2=0,SUM(Materialedata[[#This Row],[A1-A3/m²]:[A4/m²]]),
DC42+IF(DD$2=Input_Tidshorisont,SUM(Materialedata[[#This Row],[C3/m²]:[C4/m²]]),IF(MOD(DD$2,Materialedata[[#This Row],[Levetid]])=0,SUM(Materialedata[[#This Row],[A1-A3/m²]:[C4/m²]]),0))
))</f>
        <v>.</v>
      </c>
      <c r="DE42" s="141" t="str">
        <f>IF(DE$2&gt;Input_Tidshorisont,BlankTegn,IF(DE$2=0,SUM(Materialedata[[#This Row],[A1-A3/m²]:[A4/m²]]),
DD42+IF(DE$2=Input_Tidshorisont,SUM(Materialedata[[#This Row],[C3/m²]:[C4/m²]]),IF(MOD(DE$2,Materialedata[[#This Row],[Levetid]])=0,SUM(Materialedata[[#This Row],[A1-A3/m²]:[C4/m²]]),0))
))</f>
        <v>.</v>
      </c>
      <c r="DF42" s="141" t="str">
        <f>IF(DF$2&gt;Input_Tidshorisont,BlankTegn,IF(DF$2=0,SUM(Materialedata[[#This Row],[A1-A3/m²]:[A4/m²]]),
DE42+IF(DF$2=Input_Tidshorisont,SUM(Materialedata[[#This Row],[C3/m²]:[C4/m²]]),IF(MOD(DF$2,Materialedata[[#This Row],[Levetid]])=0,SUM(Materialedata[[#This Row],[A1-A3/m²]:[C4/m²]]),0))
))</f>
        <v>.</v>
      </c>
      <c r="DG42" s="141" t="str">
        <f>IF(DG$2&gt;Input_Tidshorisont,BlankTegn,IF(DG$2=0,SUM(Materialedata[[#This Row],[A1-A3/m²]:[A4/m²]]),
DF42+IF(DG$2=Input_Tidshorisont,SUM(Materialedata[[#This Row],[C3/m²]:[C4/m²]]),IF(MOD(DG$2,Materialedata[[#This Row],[Levetid]])=0,SUM(Materialedata[[#This Row],[A1-A3/m²]:[C4/m²]]),0))
))</f>
        <v>.</v>
      </c>
      <c r="DH42" s="141" t="str">
        <f>IF(DH$2&gt;Input_Tidshorisont,BlankTegn,IF(DH$2=0,SUM(Materialedata[[#This Row],[A1-A3/m²]:[A4/m²]]),
DG42+IF(DH$2=Input_Tidshorisont,SUM(Materialedata[[#This Row],[C3/m²]:[C4/m²]]),IF(MOD(DH$2,Materialedata[[#This Row],[Levetid]])=0,SUM(Materialedata[[#This Row],[A1-A3/m²]:[C4/m²]]),0))
))</f>
        <v>.</v>
      </c>
      <c r="DI42" s="141" t="str">
        <f>IF(DI$2&gt;Input_Tidshorisont,BlankTegn,IF(DI$2=0,SUM(Materialedata[[#This Row],[A1-A3/m²]:[A4/m²]]),
DH42+IF(DI$2=Input_Tidshorisont,SUM(Materialedata[[#This Row],[C3/m²]:[C4/m²]]),IF(MOD(DI$2,Materialedata[[#This Row],[Levetid]])=0,SUM(Materialedata[[#This Row],[A1-A3/m²]:[C4/m²]]),0))
))</f>
        <v>.</v>
      </c>
      <c r="DJ42" s="141" t="str">
        <f>IF(DJ$2&gt;Input_Tidshorisont,BlankTegn,IF(DJ$2=0,SUM(Materialedata[[#This Row],[A1-A3/m²]:[A4/m²]]),
DI42+IF(DJ$2=Input_Tidshorisont,SUM(Materialedata[[#This Row],[C3/m²]:[C4/m²]]),IF(MOD(DJ$2,Materialedata[[#This Row],[Levetid]])=0,SUM(Materialedata[[#This Row],[A1-A3/m²]:[C4/m²]]),0))
))</f>
        <v>.</v>
      </c>
      <c r="DK42" s="141" t="str">
        <f>IF(DK$2&gt;Input_Tidshorisont,BlankTegn,IF(DK$2=0,SUM(Materialedata[[#This Row],[A1-A3/m²]:[A4/m²]]),
DJ42+IF(DK$2=Input_Tidshorisont,SUM(Materialedata[[#This Row],[C3/m²]:[C4/m²]]),IF(MOD(DK$2,Materialedata[[#This Row],[Levetid]])=0,SUM(Materialedata[[#This Row],[A1-A3/m²]:[C4/m²]]),0))
))</f>
        <v>.</v>
      </c>
      <c r="DL42" s="141" t="str">
        <f>IF(DL$2&gt;Input_Tidshorisont,BlankTegn,IF(DL$2=0,SUM(Materialedata[[#This Row],[A1-A3/m²]:[A4/m²]]),
DK42+IF(DL$2=Input_Tidshorisont,SUM(Materialedata[[#This Row],[C3/m²]:[C4/m²]]),IF(MOD(DL$2,Materialedata[[#This Row],[Levetid]])=0,SUM(Materialedata[[#This Row],[A1-A3/m²]:[C4/m²]]),0))
))</f>
        <v>.</v>
      </c>
      <c r="DM42" s="19"/>
    </row>
    <row r="43" spans="1:117" ht="36">
      <c r="A43" s="182" t="s">
        <v>36</v>
      </c>
      <c r="B43" s="182" t="s">
        <v>183</v>
      </c>
      <c r="C43" s="148" t="s">
        <v>184</v>
      </c>
      <c r="D43" s="149" t="s">
        <v>272</v>
      </c>
      <c r="E43" s="180" t="s">
        <v>185</v>
      </c>
      <c r="F43" s="182" t="s">
        <v>29</v>
      </c>
      <c r="G43" s="182">
        <v>30</v>
      </c>
      <c r="H43" s="183">
        <v>920</v>
      </c>
      <c r="I43" s="184">
        <v>0.13</v>
      </c>
      <c r="J43" s="184" t="s">
        <v>101</v>
      </c>
      <c r="K43" s="182">
        <v>0.28499999999999998</v>
      </c>
      <c r="L43" s="182" t="s">
        <v>222</v>
      </c>
      <c r="M43" s="185">
        <f>IF(ISBLANK(Materialedata[[#This Row],[A4-gruppe]]),BlankTegn,INDEX(Byggeproces[GWP],MATCH(Materialedata[[#This Row],[A4-gruppe]],Byggeproces[Gruppe/Undergruppe],0)))</f>
        <v>0.50860000000000005</v>
      </c>
      <c r="N43" s="182">
        <v>0</v>
      </c>
      <c r="O43" s="182">
        <v>9.4700000000000006E-2</v>
      </c>
      <c r="P43" s="182">
        <v>-8.2199999999999995E-2</v>
      </c>
      <c r="Q43" s="277">
        <f>Materialedata[[#This Row],[A1-A3/standardenhed]]</f>
        <v>0.28499999999999998</v>
      </c>
      <c r="R43" s="278" cm="1">
        <f t="array" ref="R43">IFERROR(_xlfn.IFS(Materialedata[[#This Row],[Mængde-enhed]]="kg/m²",Materialedata[[#This Row],[A4/kg]]*Materialedata[[#This Row],[Mængde/m²]],Materialedata[[#This Row],[Mængde-enhed]]="m³/m²",Materialedata[[#This Row],[A4/kg]]*Materialedata[[#This Row],[Mængde/m²]]*Materialedata[[#This Row],[Densitet]]),"N/A")</f>
        <v>6.611800000000001E-2</v>
      </c>
      <c r="S43" s="277">
        <f>Materialedata[[#This Row],[C3/enhed]]</f>
        <v>0</v>
      </c>
      <c r="T43" s="277">
        <f>Materialedata[[#This Row],[C4/enhed]]</f>
        <v>9.4700000000000006E-2</v>
      </c>
      <c r="U43" s="277">
        <f>Materialedata[[#This Row],[D/enhed]]</f>
        <v>-8.2199999999999995E-2</v>
      </c>
      <c r="V43" s="150">
        <f>IFERROR(INDEX(Range_Materiale_Genbrug,MATCH(Materialedata[[#This Row],[Komponent]],Facadekomponenter,0)),BlankTegn)</f>
        <v>0</v>
      </c>
      <c r="W43" s="150">
        <f>IFERROR(1-Materialedata[[#This Row],[Genbrug]],BlankTegn)</f>
        <v>1</v>
      </c>
      <c r="X43" s="186">
        <f>IFERROR(Materialedata[[#This Row],[A1-A3/m²_nyt]]*Materialedata[[#This Row],[Nyt]],BlankTegn)</f>
        <v>0.28499999999999998</v>
      </c>
      <c r="Y43" s="186">
        <f>Materialedata[[#This Row],[A4/m²_nyt]]</f>
        <v>6.611800000000001E-2</v>
      </c>
      <c r="Z43" s="186">
        <f>IFERROR(Materialedata[[#This Row],[C3/m²_nyt]]*Materialedata[[#This Row],[Nyt]],BlankTegn)</f>
        <v>0</v>
      </c>
      <c r="AA43" s="186">
        <f>IFERROR(Materialedata[[#This Row],[C4/m²_nyt]]*Materialedata[[#This Row],[Nyt]],BlankTegn)</f>
        <v>9.4700000000000006E-2</v>
      </c>
      <c r="AB43" s="186">
        <f>IFERROR(Materialedata[[#This Row],[D/m²_nyt]]*Materialedata[[#This Row],[Nyt]],BlankTegn)</f>
        <v>-8.2199999999999995E-2</v>
      </c>
      <c r="AC43" s="187">
        <v>38.390723376855831</v>
      </c>
      <c r="AD43" s="188" t="s">
        <v>29</v>
      </c>
      <c r="AE43" s="182">
        <v>1</v>
      </c>
      <c r="AF43" s="189">
        <f>Materialedata[[#This Row],[Pris/enhed]]*Materialedata[[#This Row],[Omregning]]</f>
        <v>38.390723376855831</v>
      </c>
      <c r="AG43" s="190">
        <v>0.01</v>
      </c>
      <c r="AH43" s="191">
        <v>1</v>
      </c>
      <c r="AI43" s="162">
        <v>0</v>
      </c>
      <c r="AJ43" s="141">
        <f>IF(AJ$2&gt;Input_Tidshorisont,BlankTegn,IF(AJ$2=0,SUM(Materialedata[[#This Row],[A1-A3/m²]:[A4/m²]]),
AI43+IF(AJ$2=Input_Tidshorisont,SUM(Materialedata[[#This Row],[C3/m²]:[C4/m²]]),IF(MOD(AJ$2,Materialedata[[#This Row],[Levetid]])=0,SUM(Materialedata[[#This Row],[A1-A3/m²]:[C4/m²]]),0))
))</f>
        <v>0.35111799999999999</v>
      </c>
      <c r="AK43" s="141">
        <f>IF(AK$2&gt;Input_Tidshorisont,BlankTegn,IF(AK$2=0,SUM(Materialedata[[#This Row],[A1-A3/m²]:[A4/m²]]),
AJ43+IF(AK$2=Input_Tidshorisont,SUM(Materialedata[[#This Row],[C3/m²]:[C4/m²]]),IF(MOD(AK$2,Materialedata[[#This Row],[Levetid]])=0,SUM(Materialedata[[#This Row],[A1-A3/m²]:[C4/m²]]),0))
))</f>
        <v>0.35111799999999999</v>
      </c>
      <c r="AL43" s="141">
        <f>IF(AL$2&gt;Input_Tidshorisont,BlankTegn,IF(AL$2=0,SUM(Materialedata[[#This Row],[A1-A3/m²]:[A4/m²]]),
AK43+IF(AL$2=Input_Tidshorisont,SUM(Materialedata[[#This Row],[C3/m²]:[C4/m²]]),IF(MOD(AL$2,Materialedata[[#This Row],[Levetid]])=0,SUM(Materialedata[[#This Row],[A1-A3/m²]:[C4/m²]]),0))
))</f>
        <v>0.35111799999999999</v>
      </c>
      <c r="AM43" s="141">
        <f>IF(AM$2&gt;Input_Tidshorisont,BlankTegn,IF(AM$2=0,SUM(Materialedata[[#This Row],[A1-A3/m²]:[A4/m²]]),
AL43+IF(AM$2=Input_Tidshorisont,SUM(Materialedata[[#This Row],[C3/m²]:[C4/m²]]),IF(MOD(AM$2,Materialedata[[#This Row],[Levetid]])=0,SUM(Materialedata[[#This Row],[A1-A3/m²]:[C4/m²]]),0))
))</f>
        <v>0.35111799999999999</v>
      </c>
      <c r="AN43" s="141">
        <f>IF(AN$2&gt;Input_Tidshorisont,BlankTegn,IF(AN$2=0,SUM(Materialedata[[#This Row],[A1-A3/m²]:[A4/m²]]),
AM43+IF(AN$2=Input_Tidshorisont,SUM(Materialedata[[#This Row],[C3/m²]:[C4/m²]]),IF(MOD(AN$2,Materialedata[[#This Row],[Levetid]])=0,SUM(Materialedata[[#This Row],[A1-A3/m²]:[C4/m²]]),0))
))</f>
        <v>0.35111799999999999</v>
      </c>
      <c r="AO43" s="141">
        <f>IF(AO$2&gt;Input_Tidshorisont,BlankTegn,IF(AO$2=0,SUM(Materialedata[[#This Row],[A1-A3/m²]:[A4/m²]]),
AN43+IF(AO$2=Input_Tidshorisont,SUM(Materialedata[[#This Row],[C3/m²]:[C4/m²]]),IF(MOD(AO$2,Materialedata[[#This Row],[Levetid]])=0,SUM(Materialedata[[#This Row],[A1-A3/m²]:[C4/m²]]),0))
))</f>
        <v>0.35111799999999999</v>
      </c>
      <c r="AP43" s="141">
        <f>IF(AP$2&gt;Input_Tidshorisont,BlankTegn,IF(AP$2=0,SUM(Materialedata[[#This Row],[A1-A3/m²]:[A4/m²]]),
AO43+IF(AP$2=Input_Tidshorisont,SUM(Materialedata[[#This Row],[C3/m²]:[C4/m²]]),IF(MOD(AP$2,Materialedata[[#This Row],[Levetid]])=0,SUM(Materialedata[[#This Row],[A1-A3/m²]:[C4/m²]]),0))
))</f>
        <v>0.35111799999999999</v>
      </c>
      <c r="AQ43" s="141">
        <f>IF(AQ$2&gt;Input_Tidshorisont,BlankTegn,IF(AQ$2=0,SUM(Materialedata[[#This Row],[A1-A3/m²]:[A4/m²]]),
AP43+IF(AQ$2=Input_Tidshorisont,SUM(Materialedata[[#This Row],[C3/m²]:[C4/m²]]),IF(MOD(AQ$2,Materialedata[[#This Row],[Levetid]])=0,SUM(Materialedata[[#This Row],[A1-A3/m²]:[C4/m²]]),0))
))</f>
        <v>0.35111799999999999</v>
      </c>
      <c r="AR43" s="141">
        <f>IF(AR$2&gt;Input_Tidshorisont,BlankTegn,IF(AR$2=0,SUM(Materialedata[[#This Row],[A1-A3/m²]:[A4/m²]]),
AQ43+IF(AR$2=Input_Tidshorisont,SUM(Materialedata[[#This Row],[C3/m²]:[C4/m²]]),IF(MOD(AR$2,Materialedata[[#This Row],[Levetid]])=0,SUM(Materialedata[[#This Row],[A1-A3/m²]:[C4/m²]]),0))
))</f>
        <v>0.35111799999999999</v>
      </c>
      <c r="AS43" s="141">
        <f>IF(AS$2&gt;Input_Tidshorisont,BlankTegn,IF(AS$2=0,SUM(Materialedata[[#This Row],[A1-A3/m²]:[A4/m²]]),
AR43+IF(AS$2=Input_Tidshorisont,SUM(Materialedata[[#This Row],[C3/m²]:[C4/m²]]),IF(MOD(AS$2,Materialedata[[#This Row],[Levetid]])=0,SUM(Materialedata[[#This Row],[A1-A3/m²]:[C4/m²]]),0))
))</f>
        <v>0.35111799999999999</v>
      </c>
      <c r="AT43" s="141">
        <f>IF(AT$2&gt;Input_Tidshorisont,BlankTegn,IF(AT$2=0,SUM(Materialedata[[#This Row],[A1-A3/m²]:[A4/m²]]),
AS43+IF(AT$2=Input_Tidshorisont,SUM(Materialedata[[#This Row],[C3/m²]:[C4/m²]]),IF(MOD(AT$2,Materialedata[[#This Row],[Levetid]])=0,SUM(Materialedata[[#This Row],[A1-A3/m²]:[C4/m²]]),0))
))</f>
        <v>0.35111799999999999</v>
      </c>
      <c r="AU43" s="141">
        <f>IF(AU$2&gt;Input_Tidshorisont,BlankTegn,IF(AU$2=0,SUM(Materialedata[[#This Row],[A1-A3/m²]:[A4/m²]]),
AT43+IF(AU$2=Input_Tidshorisont,SUM(Materialedata[[#This Row],[C3/m²]:[C4/m²]]),IF(MOD(AU$2,Materialedata[[#This Row],[Levetid]])=0,SUM(Materialedata[[#This Row],[A1-A3/m²]:[C4/m²]]),0))
))</f>
        <v>0.35111799999999999</v>
      </c>
      <c r="AV43" s="141">
        <f>IF(AV$2&gt;Input_Tidshorisont,BlankTegn,IF(AV$2=0,SUM(Materialedata[[#This Row],[A1-A3/m²]:[A4/m²]]),
AU43+IF(AV$2=Input_Tidshorisont,SUM(Materialedata[[#This Row],[C3/m²]:[C4/m²]]),IF(MOD(AV$2,Materialedata[[#This Row],[Levetid]])=0,SUM(Materialedata[[#This Row],[A1-A3/m²]:[C4/m²]]),0))
))</f>
        <v>0.35111799999999999</v>
      </c>
      <c r="AW43" s="141">
        <f>IF(AW$2&gt;Input_Tidshorisont,BlankTegn,IF(AW$2=0,SUM(Materialedata[[#This Row],[A1-A3/m²]:[A4/m²]]),
AV43+IF(AW$2=Input_Tidshorisont,SUM(Materialedata[[#This Row],[C3/m²]:[C4/m²]]),IF(MOD(AW$2,Materialedata[[#This Row],[Levetid]])=0,SUM(Materialedata[[#This Row],[A1-A3/m²]:[C4/m²]]),0))
))</f>
        <v>0.35111799999999999</v>
      </c>
      <c r="AX43" s="141">
        <f>IF(AX$2&gt;Input_Tidshorisont,BlankTegn,IF(AX$2=0,SUM(Materialedata[[#This Row],[A1-A3/m²]:[A4/m²]]),
AW43+IF(AX$2=Input_Tidshorisont,SUM(Materialedata[[#This Row],[C3/m²]:[C4/m²]]),IF(MOD(AX$2,Materialedata[[#This Row],[Levetid]])=0,SUM(Materialedata[[#This Row],[A1-A3/m²]:[C4/m²]]),0))
))</f>
        <v>0.35111799999999999</v>
      </c>
      <c r="AY43" s="141">
        <f>IF(AY$2&gt;Input_Tidshorisont,BlankTegn,IF(AY$2=0,SUM(Materialedata[[#This Row],[A1-A3/m²]:[A4/m²]]),
AX43+IF(AY$2=Input_Tidshorisont,SUM(Materialedata[[#This Row],[C3/m²]:[C4/m²]]),IF(MOD(AY$2,Materialedata[[#This Row],[Levetid]])=0,SUM(Materialedata[[#This Row],[A1-A3/m²]:[C4/m²]]),0))
))</f>
        <v>0.35111799999999999</v>
      </c>
      <c r="AZ43" s="141">
        <f>IF(AZ$2&gt;Input_Tidshorisont,BlankTegn,IF(AZ$2=0,SUM(Materialedata[[#This Row],[A1-A3/m²]:[A4/m²]]),
AY43+IF(AZ$2=Input_Tidshorisont,SUM(Materialedata[[#This Row],[C3/m²]:[C4/m²]]),IF(MOD(AZ$2,Materialedata[[#This Row],[Levetid]])=0,SUM(Materialedata[[#This Row],[A1-A3/m²]:[C4/m²]]),0))
))</f>
        <v>0.35111799999999999</v>
      </c>
      <c r="BA43" s="141">
        <f>IF(BA$2&gt;Input_Tidshorisont,BlankTegn,IF(BA$2=0,SUM(Materialedata[[#This Row],[A1-A3/m²]:[A4/m²]]),
AZ43+IF(BA$2=Input_Tidshorisont,SUM(Materialedata[[#This Row],[C3/m²]:[C4/m²]]),IF(MOD(BA$2,Materialedata[[#This Row],[Levetid]])=0,SUM(Materialedata[[#This Row],[A1-A3/m²]:[C4/m²]]),0))
))</f>
        <v>0.35111799999999999</v>
      </c>
      <c r="BB43" s="141">
        <f>IF(BB$2&gt;Input_Tidshorisont,BlankTegn,IF(BB$2=0,SUM(Materialedata[[#This Row],[A1-A3/m²]:[A4/m²]]),
BA43+IF(BB$2=Input_Tidshorisont,SUM(Materialedata[[#This Row],[C3/m²]:[C4/m²]]),IF(MOD(BB$2,Materialedata[[#This Row],[Levetid]])=0,SUM(Materialedata[[#This Row],[A1-A3/m²]:[C4/m²]]),0))
))</f>
        <v>0.35111799999999999</v>
      </c>
      <c r="BC43" s="141">
        <f>IF(BC$2&gt;Input_Tidshorisont,BlankTegn,IF(BC$2=0,SUM(Materialedata[[#This Row],[A1-A3/m²]:[A4/m²]]),
BB43+IF(BC$2=Input_Tidshorisont,SUM(Materialedata[[#This Row],[C3/m²]:[C4/m²]]),IF(MOD(BC$2,Materialedata[[#This Row],[Levetid]])=0,SUM(Materialedata[[#This Row],[A1-A3/m²]:[C4/m²]]),0))
))</f>
        <v>0.35111799999999999</v>
      </c>
      <c r="BD43" s="141">
        <f>IF(BD$2&gt;Input_Tidshorisont,BlankTegn,IF(BD$2=0,SUM(Materialedata[[#This Row],[A1-A3/m²]:[A4/m²]]),
BC43+IF(BD$2=Input_Tidshorisont,SUM(Materialedata[[#This Row],[C3/m²]:[C4/m²]]),IF(MOD(BD$2,Materialedata[[#This Row],[Levetid]])=0,SUM(Materialedata[[#This Row],[A1-A3/m²]:[C4/m²]]),0))
))</f>
        <v>0.35111799999999999</v>
      </c>
      <c r="BE43" s="141">
        <f>IF(BE$2&gt;Input_Tidshorisont,BlankTegn,IF(BE$2=0,SUM(Materialedata[[#This Row],[A1-A3/m²]:[A4/m²]]),
BD43+IF(BE$2=Input_Tidshorisont,SUM(Materialedata[[#This Row],[C3/m²]:[C4/m²]]),IF(MOD(BE$2,Materialedata[[#This Row],[Levetid]])=0,SUM(Materialedata[[#This Row],[A1-A3/m²]:[C4/m²]]),0))
))</f>
        <v>0.35111799999999999</v>
      </c>
      <c r="BF43" s="141">
        <f>IF(BF$2&gt;Input_Tidshorisont,BlankTegn,IF(BF$2=0,SUM(Materialedata[[#This Row],[A1-A3/m²]:[A4/m²]]),
BE43+IF(BF$2=Input_Tidshorisont,SUM(Materialedata[[#This Row],[C3/m²]:[C4/m²]]),IF(MOD(BF$2,Materialedata[[#This Row],[Levetid]])=0,SUM(Materialedata[[#This Row],[A1-A3/m²]:[C4/m²]]),0))
))</f>
        <v>0.35111799999999999</v>
      </c>
      <c r="BG43" s="141">
        <f>IF(BG$2&gt;Input_Tidshorisont,BlankTegn,IF(BG$2=0,SUM(Materialedata[[#This Row],[A1-A3/m²]:[A4/m²]]),
BF43+IF(BG$2=Input_Tidshorisont,SUM(Materialedata[[#This Row],[C3/m²]:[C4/m²]]),IF(MOD(BG$2,Materialedata[[#This Row],[Levetid]])=0,SUM(Materialedata[[#This Row],[A1-A3/m²]:[C4/m²]]),0))
))</f>
        <v>0.35111799999999999</v>
      </c>
      <c r="BH43" s="141">
        <f>IF(BH$2&gt;Input_Tidshorisont,BlankTegn,IF(BH$2=0,SUM(Materialedata[[#This Row],[A1-A3/m²]:[A4/m²]]),
BG43+IF(BH$2=Input_Tidshorisont,SUM(Materialedata[[#This Row],[C3/m²]:[C4/m²]]),IF(MOD(BH$2,Materialedata[[#This Row],[Levetid]])=0,SUM(Materialedata[[#This Row],[A1-A3/m²]:[C4/m²]]),0))
))</f>
        <v>0.35111799999999999</v>
      </c>
      <c r="BI43" s="141">
        <f>IF(BI$2&gt;Input_Tidshorisont,BlankTegn,IF(BI$2=0,SUM(Materialedata[[#This Row],[A1-A3/m²]:[A4/m²]]),
BH43+IF(BI$2=Input_Tidshorisont,SUM(Materialedata[[#This Row],[C3/m²]:[C4/m²]]),IF(MOD(BI$2,Materialedata[[#This Row],[Levetid]])=0,SUM(Materialedata[[#This Row],[A1-A3/m²]:[C4/m²]]),0))
))</f>
        <v>0.35111799999999999</v>
      </c>
      <c r="BJ43" s="141">
        <f>IF(BJ$2&gt;Input_Tidshorisont,BlankTegn,IF(BJ$2=0,SUM(Materialedata[[#This Row],[A1-A3/m²]:[A4/m²]]),
BI43+IF(BJ$2=Input_Tidshorisont,SUM(Materialedata[[#This Row],[C3/m²]:[C4/m²]]),IF(MOD(BJ$2,Materialedata[[#This Row],[Levetid]])=0,SUM(Materialedata[[#This Row],[A1-A3/m²]:[C4/m²]]),0))
))</f>
        <v>0.35111799999999999</v>
      </c>
      <c r="BK43" s="141">
        <f>IF(BK$2&gt;Input_Tidshorisont,BlankTegn,IF(BK$2=0,SUM(Materialedata[[#This Row],[A1-A3/m²]:[A4/m²]]),
BJ43+IF(BK$2=Input_Tidshorisont,SUM(Materialedata[[#This Row],[C3/m²]:[C4/m²]]),IF(MOD(BK$2,Materialedata[[#This Row],[Levetid]])=0,SUM(Materialedata[[#This Row],[A1-A3/m²]:[C4/m²]]),0))
))</f>
        <v>0.35111799999999999</v>
      </c>
      <c r="BL43" s="141">
        <f>IF(BL$2&gt;Input_Tidshorisont,BlankTegn,IF(BL$2=0,SUM(Materialedata[[#This Row],[A1-A3/m²]:[A4/m²]]),
BK43+IF(BL$2=Input_Tidshorisont,SUM(Materialedata[[#This Row],[C3/m²]:[C4/m²]]),IF(MOD(BL$2,Materialedata[[#This Row],[Levetid]])=0,SUM(Materialedata[[#This Row],[A1-A3/m²]:[C4/m²]]),0))
))</f>
        <v>0.35111799999999999</v>
      </c>
      <c r="BM43" s="141">
        <f>IF(BM$2&gt;Input_Tidshorisont,BlankTegn,IF(BM$2=0,SUM(Materialedata[[#This Row],[A1-A3/m²]:[A4/m²]]),
BL43+IF(BM$2=Input_Tidshorisont,SUM(Materialedata[[#This Row],[C3/m²]:[C4/m²]]),IF(MOD(BM$2,Materialedata[[#This Row],[Levetid]])=0,SUM(Materialedata[[#This Row],[A1-A3/m²]:[C4/m²]]),0))
))</f>
        <v>0.35111799999999999</v>
      </c>
      <c r="BN43" s="141">
        <f>IF(BN$2&gt;Input_Tidshorisont,BlankTegn,IF(BN$2=0,SUM(Materialedata[[#This Row],[A1-A3/m²]:[A4/m²]]),
BM43+IF(BN$2=Input_Tidshorisont,SUM(Materialedata[[#This Row],[C3/m²]:[C4/m²]]),IF(MOD(BN$2,Materialedata[[#This Row],[Levetid]])=0,SUM(Materialedata[[#This Row],[A1-A3/m²]:[C4/m²]]),0))
))</f>
        <v>0.79693599999999998</v>
      </c>
      <c r="BO43" s="141">
        <f>IF(BO$2&gt;Input_Tidshorisont,BlankTegn,IF(BO$2=0,SUM(Materialedata[[#This Row],[A1-A3/m²]:[A4/m²]]),
BN43+IF(BO$2=Input_Tidshorisont,SUM(Materialedata[[#This Row],[C3/m²]:[C4/m²]]),IF(MOD(BO$2,Materialedata[[#This Row],[Levetid]])=0,SUM(Materialedata[[#This Row],[A1-A3/m²]:[C4/m²]]),0))
))</f>
        <v>0.79693599999999998</v>
      </c>
      <c r="BP43" s="141">
        <f>IF(BP$2&gt;Input_Tidshorisont,BlankTegn,IF(BP$2=0,SUM(Materialedata[[#This Row],[A1-A3/m²]:[A4/m²]]),
BO43+IF(BP$2=Input_Tidshorisont,SUM(Materialedata[[#This Row],[C3/m²]:[C4/m²]]),IF(MOD(BP$2,Materialedata[[#This Row],[Levetid]])=0,SUM(Materialedata[[#This Row],[A1-A3/m²]:[C4/m²]]),0))
))</f>
        <v>0.79693599999999998</v>
      </c>
      <c r="BQ43" s="141">
        <f>IF(BQ$2&gt;Input_Tidshorisont,BlankTegn,IF(BQ$2=0,SUM(Materialedata[[#This Row],[A1-A3/m²]:[A4/m²]]),
BP43+IF(BQ$2=Input_Tidshorisont,SUM(Materialedata[[#This Row],[C3/m²]:[C4/m²]]),IF(MOD(BQ$2,Materialedata[[#This Row],[Levetid]])=0,SUM(Materialedata[[#This Row],[A1-A3/m²]:[C4/m²]]),0))
))</f>
        <v>0.79693599999999998</v>
      </c>
      <c r="BR43" s="141">
        <f>IF(BR$2&gt;Input_Tidshorisont,BlankTegn,IF(BR$2=0,SUM(Materialedata[[#This Row],[A1-A3/m²]:[A4/m²]]),
BQ43+IF(BR$2=Input_Tidshorisont,SUM(Materialedata[[#This Row],[C3/m²]:[C4/m²]]),IF(MOD(BR$2,Materialedata[[#This Row],[Levetid]])=0,SUM(Materialedata[[#This Row],[A1-A3/m²]:[C4/m²]]),0))
))</f>
        <v>0.79693599999999998</v>
      </c>
      <c r="BS43" s="141">
        <f>IF(BS$2&gt;Input_Tidshorisont,BlankTegn,IF(BS$2=0,SUM(Materialedata[[#This Row],[A1-A3/m²]:[A4/m²]]),
BR43+IF(BS$2=Input_Tidshorisont,SUM(Materialedata[[#This Row],[C3/m²]:[C4/m²]]),IF(MOD(BS$2,Materialedata[[#This Row],[Levetid]])=0,SUM(Materialedata[[#This Row],[A1-A3/m²]:[C4/m²]]),0))
))</f>
        <v>0.79693599999999998</v>
      </c>
      <c r="BT43" s="141">
        <f>IF(BT$2&gt;Input_Tidshorisont,BlankTegn,IF(BT$2=0,SUM(Materialedata[[#This Row],[A1-A3/m²]:[A4/m²]]),
BS43+IF(BT$2=Input_Tidshorisont,SUM(Materialedata[[#This Row],[C3/m²]:[C4/m²]]),IF(MOD(BT$2,Materialedata[[#This Row],[Levetid]])=0,SUM(Materialedata[[#This Row],[A1-A3/m²]:[C4/m²]]),0))
))</f>
        <v>0.79693599999999998</v>
      </c>
      <c r="BU43" s="141">
        <f>IF(BU$2&gt;Input_Tidshorisont,BlankTegn,IF(BU$2=0,SUM(Materialedata[[#This Row],[A1-A3/m²]:[A4/m²]]),
BT43+IF(BU$2=Input_Tidshorisont,SUM(Materialedata[[#This Row],[C3/m²]:[C4/m²]]),IF(MOD(BU$2,Materialedata[[#This Row],[Levetid]])=0,SUM(Materialedata[[#This Row],[A1-A3/m²]:[C4/m²]]),0))
))</f>
        <v>0.79693599999999998</v>
      </c>
      <c r="BV43" s="141">
        <f>IF(BV$2&gt;Input_Tidshorisont,BlankTegn,IF(BV$2=0,SUM(Materialedata[[#This Row],[A1-A3/m²]:[A4/m²]]),
BU43+IF(BV$2=Input_Tidshorisont,SUM(Materialedata[[#This Row],[C3/m²]:[C4/m²]]),IF(MOD(BV$2,Materialedata[[#This Row],[Levetid]])=0,SUM(Materialedata[[#This Row],[A1-A3/m²]:[C4/m²]]),0))
))</f>
        <v>0.79693599999999998</v>
      </c>
      <c r="BW43" s="141">
        <f>IF(BW$2&gt;Input_Tidshorisont,BlankTegn,IF(BW$2=0,SUM(Materialedata[[#This Row],[A1-A3/m²]:[A4/m²]]),
BV43+IF(BW$2=Input_Tidshorisont,SUM(Materialedata[[#This Row],[C3/m²]:[C4/m²]]),IF(MOD(BW$2,Materialedata[[#This Row],[Levetid]])=0,SUM(Materialedata[[#This Row],[A1-A3/m²]:[C4/m²]]),0))
))</f>
        <v>0.79693599999999998</v>
      </c>
      <c r="BX43" s="141">
        <f>IF(BX$2&gt;Input_Tidshorisont,BlankTegn,IF(BX$2=0,SUM(Materialedata[[#This Row],[A1-A3/m²]:[A4/m²]]),
BW43+IF(BX$2=Input_Tidshorisont,SUM(Materialedata[[#This Row],[C3/m²]:[C4/m²]]),IF(MOD(BX$2,Materialedata[[#This Row],[Levetid]])=0,SUM(Materialedata[[#This Row],[A1-A3/m²]:[C4/m²]]),0))
))</f>
        <v>0.79693599999999998</v>
      </c>
      <c r="BY43" s="141">
        <f>IF(BY$2&gt;Input_Tidshorisont,BlankTegn,IF(BY$2=0,SUM(Materialedata[[#This Row],[A1-A3/m²]:[A4/m²]]),
BX43+IF(BY$2=Input_Tidshorisont,SUM(Materialedata[[#This Row],[C3/m²]:[C4/m²]]),IF(MOD(BY$2,Materialedata[[#This Row],[Levetid]])=0,SUM(Materialedata[[#This Row],[A1-A3/m²]:[C4/m²]]),0))
))</f>
        <v>0.79693599999999998</v>
      </c>
      <c r="BZ43" s="141">
        <f>IF(BZ$2&gt;Input_Tidshorisont,BlankTegn,IF(BZ$2=0,SUM(Materialedata[[#This Row],[A1-A3/m²]:[A4/m²]]),
BY43+IF(BZ$2=Input_Tidshorisont,SUM(Materialedata[[#This Row],[C3/m²]:[C4/m²]]),IF(MOD(BZ$2,Materialedata[[#This Row],[Levetid]])=0,SUM(Materialedata[[#This Row],[A1-A3/m²]:[C4/m²]]),0))
))</f>
        <v>0.79693599999999998</v>
      </c>
      <c r="CA43" s="141">
        <f>IF(CA$2&gt;Input_Tidshorisont,BlankTegn,IF(CA$2=0,SUM(Materialedata[[#This Row],[A1-A3/m²]:[A4/m²]]),
BZ43+IF(CA$2=Input_Tidshorisont,SUM(Materialedata[[#This Row],[C3/m²]:[C4/m²]]),IF(MOD(CA$2,Materialedata[[#This Row],[Levetid]])=0,SUM(Materialedata[[#This Row],[A1-A3/m²]:[C4/m²]]),0))
))</f>
        <v>0.79693599999999998</v>
      </c>
      <c r="CB43" s="141">
        <f>IF(CB$2&gt;Input_Tidshorisont,BlankTegn,IF(CB$2=0,SUM(Materialedata[[#This Row],[A1-A3/m²]:[A4/m²]]),
CA43+IF(CB$2=Input_Tidshorisont,SUM(Materialedata[[#This Row],[C3/m²]:[C4/m²]]),IF(MOD(CB$2,Materialedata[[#This Row],[Levetid]])=0,SUM(Materialedata[[#This Row],[A1-A3/m²]:[C4/m²]]),0))
))</f>
        <v>0.79693599999999998</v>
      </c>
      <c r="CC43" s="141">
        <f>IF(CC$2&gt;Input_Tidshorisont,BlankTegn,IF(CC$2=0,SUM(Materialedata[[#This Row],[A1-A3/m²]:[A4/m²]]),
CB43+IF(CC$2=Input_Tidshorisont,SUM(Materialedata[[#This Row],[C3/m²]:[C4/m²]]),IF(MOD(CC$2,Materialedata[[#This Row],[Levetid]])=0,SUM(Materialedata[[#This Row],[A1-A3/m²]:[C4/m²]]),0))
))</f>
        <v>0.79693599999999998</v>
      </c>
      <c r="CD43" s="141">
        <f>IF(CD$2&gt;Input_Tidshorisont,BlankTegn,IF(CD$2=0,SUM(Materialedata[[#This Row],[A1-A3/m²]:[A4/m²]]),
CC43+IF(CD$2=Input_Tidshorisont,SUM(Materialedata[[#This Row],[C3/m²]:[C4/m²]]),IF(MOD(CD$2,Materialedata[[#This Row],[Levetid]])=0,SUM(Materialedata[[#This Row],[A1-A3/m²]:[C4/m²]]),0))
))</f>
        <v>0.79693599999999998</v>
      </c>
      <c r="CE43" s="141">
        <f>IF(CE$2&gt;Input_Tidshorisont,BlankTegn,IF(CE$2=0,SUM(Materialedata[[#This Row],[A1-A3/m²]:[A4/m²]]),
CD43+IF(CE$2=Input_Tidshorisont,SUM(Materialedata[[#This Row],[C3/m²]:[C4/m²]]),IF(MOD(CE$2,Materialedata[[#This Row],[Levetid]])=0,SUM(Materialedata[[#This Row],[A1-A3/m²]:[C4/m²]]),0))
))</f>
        <v>0.79693599999999998</v>
      </c>
      <c r="CF43" s="141">
        <f>IF(CF$2&gt;Input_Tidshorisont,BlankTegn,IF(CF$2=0,SUM(Materialedata[[#This Row],[A1-A3/m²]:[A4/m²]]),
CE43+IF(CF$2=Input_Tidshorisont,SUM(Materialedata[[#This Row],[C3/m²]:[C4/m²]]),IF(MOD(CF$2,Materialedata[[#This Row],[Levetid]])=0,SUM(Materialedata[[#This Row],[A1-A3/m²]:[C4/m²]]),0))
))</f>
        <v>0.79693599999999998</v>
      </c>
      <c r="CG43" s="141">
        <f>IF(CG$2&gt;Input_Tidshorisont,BlankTegn,IF(CG$2=0,SUM(Materialedata[[#This Row],[A1-A3/m²]:[A4/m²]]),
CF43+IF(CG$2=Input_Tidshorisont,SUM(Materialedata[[#This Row],[C3/m²]:[C4/m²]]),IF(MOD(CG$2,Materialedata[[#This Row],[Levetid]])=0,SUM(Materialedata[[#This Row],[A1-A3/m²]:[C4/m²]]),0))
))</f>
        <v>0.79693599999999998</v>
      </c>
      <c r="CH43" s="141">
        <f>IF(CH$2&gt;Input_Tidshorisont,BlankTegn,IF(CH$2=0,SUM(Materialedata[[#This Row],[A1-A3/m²]:[A4/m²]]),
CG43+IF(CH$2=Input_Tidshorisont,SUM(Materialedata[[#This Row],[C3/m²]:[C4/m²]]),IF(MOD(CH$2,Materialedata[[#This Row],[Levetid]])=0,SUM(Materialedata[[#This Row],[A1-A3/m²]:[C4/m²]]),0))
))</f>
        <v>0.89163599999999998</v>
      </c>
      <c r="CI43" s="141" t="str">
        <f>IF(CI$2&gt;Input_Tidshorisont,BlankTegn,IF(CI$2=0,SUM(Materialedata[[#This Row],[A1-A3/m²]:[A4/m²]]),
CH43+IF(CI$2=Input_Tidshorisont,SUM(Materialedata[[#This Row],[C3/m²]:[C4/m²]]),IF(MOD(CI$2,Materialedata[[#This Row],[Levetid]])=0,SUM(Materialedata[[#This Row],[A1-A3/m²]:[C4/m²]]),0))
))</f>
        <v>.</v>
      </c>
      <c r="CJ43" s="141" t="str">
        <f>IF(CJ$2&gt;Input_Tidshorisont,BlankTegn,IF(CJ$2=0,SUM(Materialedata[[#This Row],[A1-A3/m²]:[A4/m²]]),
CI43+IF(CJ$2=Input_Tidshorisont,SUM(Materialedata[[#This Row],[C3/m²]:[C4/m²]]),IF(MOD(CJ$2,Materialedata[[#This Row],[Levetid]])=0,SUM(Materialedata[[#This Row],[A1-A3/m²]:[C4/m²]]),0))
))</f>
        <v>.</v>
      </c>
      <c r="CK43" s="141" t="str">
        <f>IF(CK$2&gt;Input_Tidshorisont,BlankTegn,IF(CK$2=0,SUM(Materialedata[[#This Row],[A1-A3/m²]:[A4/m²]]),
CJ43+IF(CK$2=Input_Tidshorisont,SUM(Materialedata[[#This Row],[C3/m²]:[C4/m²]]),IF(MOD(CK$2,Materialedata[[#This Row],[Levetid]])=0,SUM(Materialedata[[#This Row],[A1-A3/m²]:[C4/m²]]),0))
))</f>
        <v>.</v>
      </c>
      <c r="CL43" s="141" t="str">
        <f>IF(CL$2&gt;Input_Tidshorisont,BlankTegn,IF(CL$2=0,SUM(Materialedata[[#This Row],[A1-A3/m²]:[A4/m²]]),
CK43+IF(CL$2=Input_Tidshorisont,SUM(Materialedata[[#This Row],[C3/m²]:[C4/m²]]),IF(MOD(CL$2,Materialedata[[#This Row],[Levetid]])=0,SUM(Materialedata[[#This Row],[A1-A3/m²]:[C4/m²]]),0))
))</f>
        <v>.</v>
      </c>
      <c r="CM43" s="141" t="str">
        <f>IF(CM$2&gt;Input_Tidshorisont,BlankTegn,IF(CM$2=0,SUM(Materialedata[[#This Row],[A1-A3/m²]:[A4/m²]]),
CL43+IF(CM$2=Input_Tidshorisont,SUM(Materialedata[[#This Row],[C3/m²]:[C4/m²]]),IF(MOD(CM$2,Materialedata[[#This Row],[Levetid]])=0,SUM(Materialedata[[#This Row],[A1-A3/m²]:[C4/m²]]),0))
))</f>
        <v>.</v>
      </c>
      <c r="CN43" s="141" t="str">
        <f>IF(CN$2&gt;Input_Tidshorisont,BlankTegn,IF(CN$2=0,SUM(Materialedata[[#This Row],[A1-A3/m²]:[A4/m²]]),
CM43+IF(CN$2=Input_Tidshorisont,SUM(Materialedata[[#This Row],[C3/m²]:[C4/m²]]),IF(MOD(CN$2,Materialedata[[#This Row],[Levetid]])=0,SUM(Materialedata[[#This Row],[A1-A3/m²]:[C4/m²]]),0))
))</f>
        <v>.</v>
      </c>
      <c r="CO43" s="141" t="str">
        <f>IF(CO$2&gt;Input_Tidshorisont,BlankTegn,IF(CO$2=0,SUM(Materialedata[[#This Row],[A1-A3/m²]:[A4/m²]]),
CN43+IF(CO$2=Input_Tidshorisont,SUM(Materialedata[[#This Row],[C3/m²]:[C4/m²]]),IF(MOD(CO$2,Materialedata[[#This Row],[Levetid]])=0,SUM(Materialedata[[#This Row],[A1-A3/m²]:[C4/m²]]),0))
))</f>
        <v>.</v>
      </c>
      <c r="CP43" s="141" t="str">
        <f>IF(CP$2&gt;Input_Tidshorisont,BlankTegn,IF(CP$2=0,SUM(Materialedata[[#This Row],[A1-A3/m²]:[A4/m²]]),
CO43+IF(CP$2=Input_Tidshorisont,SUM(Materialedata[[#This Row],[C3/m²]:[C4/m²]]),IF(MOD(CP$2,Materialedata[[#This Row],[Levetid]])=0,SUM(Materialedata[[#This Row],[A1-A3/m²]:[C4/m²]]),0))
))</f>
        <v>.</v>
      </c>
      <c r="CQ43" s="141" t="str">
        <f>IF(CQ$2&gt;Input_Tidshorisont,BlankTegn,IF(CQ$2=0,SUM(Materialedata[[#This Row],[A1-A3/m²]:[A4/m²]]),
CP43+IF(CQ$2=Input_Tidshorisont,SUM(Materialedata[[#This Row],[C3/m²]:[C4/m²]]),IF(MOD(CQ$2,Materialedata[[#This Row],[Levetid]])=0,SUM(Materialedata[[#This Row],[A1-A3/m²]:[C4/m²]]),0))
))</f>
        <v>.</v>
      </c>
      <c r="CR43" s="141" t="str">
        <f>IF(CR$2&gt;Input_Tidshorisont,BlankTegn,IF(CR$2=0,SUM(Materialedata[[#This Row],[A1-A3/m²]:[A4/m²]]),
CQ43+IF(CR$2=Input_Tidshorisont,SUM(Materialedata[[#This Row],[C3/m²]:[C4/m²]]),IF(MOD(CR$2,Materialedata[[#This Row],[Levetid]])=0,SUM(Materialedata[[#This Row],[A1-A3/m²]:[C4/m²]]),0))
))</f>
        <v>.</v>
      </c>
      <c r="CS43" s="141" t="str">
        <f>IF(CS$2&gt;Input_Tidshorisont,BlankTegn,IF(CS$2=0,SUM(Materialedata[[#This Row],[A1-A3/m²]:[A4/m²]]),
CR43+IF(CS$2=Input_Tidshorisont,SUM(Materialedata[[#This Row],[C3/m²]:[C4/m²]]),IF(MOD(CS$2,Materialedata[[#This Row],[Levetid]])=0,SUM(Materialedata[[#This Row],[A1-A3/m²]:[C4/m²]]),0))
))</f>
        <v>.</v>
      </c>
      <c r="CT43" s="141" t="str">
        <f>IF(CT$2&gt;Input_Tidshorisont,BlankTegn,IF(CT$2=0,SUM(Materialedata[[#This Row],[A1-A3/m²]:[A4/m²]]),
CS43+IF(CT$2=Input_Tidshorisont,SUM(Materialedata[[#This Row],[C3/m²]:[C4/m²]]),IF(MOD(CT$2,Materialedata[[#This Row],[Levetid]])=0,SUM(Materialedata[[#This Row],[A1-A3/m²]:[C4/m²]]),0))
))</f>
        <v>.</v>
      </c>
      <c r="CU43" s="141" t="str">
        <f>IF(CU$2&gt;Input_Tidshorisont,BlankTegn,IF(CU$2=0,SUM(Materialedata[[#This Row],[A1-A3/m²]:[A4/m²]]),
CT43+IF(CU$2=Input_Tidshorisont,SUM(Materialedata[[#This Row],[C3/m²]:[C4/m²]]),IF(MOD(CU$2,Materialedata[[#This Row],[Levetid]])=0,SUM(Materialedata[[#This Row],[A1-A3/m²]:[C4/m²]]),0))
))</f>
        <v>.</v>
      </c>
      <c r="CV43" s="141" t="str">
        <f>IF(CV$2&gt;Input_Tidshorisont,BlankTegn,IF(CV$2=0,SUM(Materialedata[[#This Row],[A1-A3/m²]:[A4/m²]]),
CU43+IF(CV$2=Input_Tidshorisont,SUM(Materialedata[[#This Row],[C3/m²]:[C4/m²]]),IF(MOD(CV$2,Materialedata[[#This Row],[Levetid]])=0,SUM(Materialedata[[#This Row],[A1-A3/m²]:[C4/m²]]),0))
))</f>
        <v>.</v>
      </c>
      <c r="CW43" s="141" t="str">
        <f>IF(CW$2&gt;Input_Tidshorisont,BlankTegn,IF(CW$2=0,SUM(Materialedata[[#This Row],[A1-A3/m²]:[A4/m²]]),
CV43+IF(CW$2=Input_Tidshorisont,SUM(Materialedata[[#This Row],[C3/m²]:[C4/m²]]),IF(MOD(CW$2,Materialedata[[#This Row],[Levetid]])=0,SUM(Materialedata[[#This Row],[A1-A3/m²]:[C4/m²]]),0))
))</f>
        <v>.</v>
      </c>
      <c r="CX43" s="141" t="str">
        <f>IF(CX$2&gt;Input_Tidshorisont,BlankTegn,IF(CX$2=0,SUM(Materialedata[[#This Row],[A1-A3/m²]:[A4/m²]]),
CW43+IF(CX$2=Input_Tidshorisont,SUM(Materialedata[[#This Row],[C3/m²]:[C4/m²]]),IF(MOD(CX$2,Materialedata[[#This Row],[Levetid]])=0,SUM(Materialedata[[#This Row],[A1-A3/m²]:[C4/m²]]),0))
))</f>
        <v>.</v>
      </c>
      <c r="CY43" s="141" t="str">
        <f>IF(CY$2&gt;Input_Tidshorisont,BlankTegn,IF(CY$2=0,SUM(Materialedata[[#This Row],[A1-A3/m²]:[A4/m²]]),
CX43+IF(CY$2=Input_Tidshorisont,SUM(Materialedata[[#This Row],[C3/m²]:[C4/m²]]),IF(MOD(CY$2,Materialedata[[#This Row],[Levetid]])=0,SUM(Materialedata[[#This Row],[A1-A3/m²]:[C4/m²]]),0))
))</f>
        <v>.</v>
      </c>
      <c r="CZ43" s="141" t="str">
        <f>IF(CZ$2&gt;Input_Tidshorisont,BlankTegn,IF(CZ$2=0,SUM(Materialedata[[#This Row],[A1-A3/m²]:[A4/m²]]),
CY43+IF(CZ$2=Input_Tidshorisont,SUM(Materialedata[[#This Row],[C3/m²]:[C4/m²]]),IF(MOD(CZ$2,Materialedata[[#This Row],[Levetid]])=0,SUM(Materialedata[[#This Row],[A1-A3/m²]:[C4/m²]]),0))
))</f>
        <v>.</v>
      </c>
      <c r="DA43" s="141" t="str">
        <f>IF(DA$2&gt;Input_Tidshorisont,BlankTegn,IF(DA$2=0,SUM(Materialedata[[#This Row],[A1-A3/m²]:[A4/m²]]),
CZ43+IF(DA$2=Input_Tidshorisont,SUM(Materialedata[[#This Row],[C3/m²]:[C4/m²]]),IF(MOD(DA$2,Materialedata[[#This Row],[Levetid]])=0,SUM(Materialedata[[#This Row],[A1-A3/m²]:[C4/m²]]),0))
))</f>
        <v>.</v>
      </c>
      <c r="DB43" s="141" t="str">
        <f>IF(DB$2&gt;Input_Tidshorisont,BlankTegn,IF(DB$2=0,SUM(Materialedata[[#This Row],[A1-A3/m²]:[A4/m²]]),
DA43+IF(DB$2=Input_Tidshorisont,SUM(Materialedata[[#This Row],[C3/m²]:[C4/m²]]),IF(MOD(DB$2,Materialedata[[#This Row],[Levetid]])=0,SUM(Materialedata[[#This Row],[A1-A3/m²]:[C4/m²]]),0))
))</f>
        <v>.</v>
      </c>
      <c r="DC43" s="141" t="str">
        <f>IF(DC$2&gt;Input_Tidshorisont,BlankTegn,IF(DC$2=0,SUM(Materialedata[[#This Row],[A1-A3/m²]:[A4/m²]]),
DB43+IF(DC$2=Input_Tidshorisont,SUM(Materialedata[[#This Row],[C3/m²]:[C4/m²]]),IF(MOD(DC$2,Materialedata[[#This Row],[Levetid]])=0,SUM(Materialedata[[#This Row],[A1-A3/m²]:[C4/m²]]),0))
))</f>
        <v>.</v>
      </c>
      <c r="DD43" s="141" t="str">
        <f>IF(DD$2&gt;Input_Tidshorisont,BlankTegn,IF(DD$2=0,SUM(Materialedata[[#This Row],[A1-A3/m²]:[A4/m²]]),
DC43+IF(DD$2=Input_Tidshorisont,SUM(Materialedata[[#This Row],[C3/m²]:[C4/m²]]),IF(MOD(DD$2,Materialedata[[#This Row],[Levetid]])=0,SUM(Materialedata[[#This Row],[A1-A3/m²]:[C4/m²]]),0))
))</f>
        <v>.</v>
      </c>
      <c r="DE43" s="141" t="str">
        <f>IF(DE$2&gt;Input_Tidshorisont,BlankTegn,IF(DE$2=0,SUM(Materialedata[[#This Row],[A1-A3/m²]:[A4/m²]]),
DD43+IF(DE$2=Input_Tidshorisont,SUM(Materialedata[[#This Row],[C3/m²]:[C4/m²]]),IF(MOD(DE$2,Materialedata[[#This Row],[Levetid]])=0,SUM(Materialedata[[#This Row],[A1-A3/m²]:[C4/m²]]),0))
))</f>
        <v>.</v>
      </c>
      <c r="DF43" s="141" t="str">
        <f>IF(DF$2&gt;Input_Tidshorisont,BlankTegn,IF(DF$2=0,SUM(Materialedata[[#This Row],[A1-A3/m²]:[A4/m²]]),
DE43+IF(DF$2=Input_Tidshorisont,SUM(Materialedata[[#This Row],[C3/m²]:[C4/m²]]),IF(MOD(DF$2,Materialedata[[#This Row],[Levetid]])=0,SUM(Materialedata[[#This Row],[A1-A3/m²]:[C4/m²]]),0))
))</f>
        <v>.</v>
      </c>
      <c r="DG43" s="141" t="str">
        <f>IF(DG$2&gt;Input_Tidshorisont,BlankTegn,IF(DG$2=0,SUM(Materialedata[[#This Row],[A1-A3/m²]:[A4/m²]]),
DF43+IF(DG$2=Input_Tidshorisont,SUM(Materialedata[[#This Row],[C3/m²]:[C4/m²]]),IF(MOD(DG$2,Materialedata[[#This Row],[Levetid]])=0,SUM(Materialedata[[#This Row],[A1-A3/m²]:[C4/m²]]),0))
))</f>
        <v>.</v>
      </c>
      <c r="DH43" s="141" t="str">
        <f>IF(DH$2&gt;Input_Tidshorisont,BlankTegn,IF(DH$2=0,SUM(Materialedata[[#This Row],[A1-A3/m²]:[A4/m²]]),
DG43+IF(DH$2=Input_Tidshorisont,SUM(Materialedata[[#This Row],[C3/m²]:[C4/m²]]),IF(MOD(DH$2,Materialedata[[#This Row],[Levetid]])=0,SUM(Materialedata[[#This Row],[A1-A3/m²]:[C4/m²]]),0))
))</f>
        <v>.</v>
      </c>
      <c r="DI43" s="141" t="str">
        <f>IF(DI$2&gt;Input_Tidshorisont,BlankTegn,IF(DI$2=0,SUM(Materialedata[[#This Row],[A1-A3/m²]:[A4/m²]]),
DH43+IF(DI$2=Input_Tidshorisont,SUM(Materialedata[[#This Row],[C3/m²]:[C4/m²]]),IF(MOD(DI$2,Materialedata[[#This Row],[Levetid]])=0,SUM(Materialedata[[#This Row],[A1-A3/m²]:[C4/m²]]),0))
))</f>
        <v>.</v>
      </c>
      <c r="DJ43" s="141" t="str">
        <f>IF(DJ$2&gt;Input_Tidshorisont,BlankTegn,IF(DJ$2=0,SUM(Materialedata[[#This Row],[A1-A3/m²]:[A4/m²]]),
DI43+IF(DJ$2=Input_Tidshorisont,SUM(Materialedata[[#This Row],[C3/m²]:[C4/m²]]),IF(MOD(DJ$2,Materialedata[[#This Row],[Levetid]])=0,SUM(Materialedata[[#This Row],[A1-A3/m²]:[C4/m²]]),0))
))</f>
        <v>.</v>
      </c>
      <c r="DK43" s="141" t="str">
        <f>IF(DK$2&gt;Input_Tidshorisont,BlankTegn,IF(DK$2=0,SUM(Materialedata[[#This Row],[A1-A3/m²]:[A4/m²]]),
DJ43+IF(DK$2=Input_Tidshorisont,SUM(Materialedata[[#This Row],[C3/m²]:[C4/m²]]),IF(MOD(DK$2,Materialedata[[#This Row],[Levetid]])=0,SUM(Materialedata[[#This Row],[A1-A3/m²]:[C4/m²]]),0))
))</f>
        <v>.</v>
      </c>
      <c r="DL43" s="141" t="str">
        <f>IF(DL$2&gt;Input_Tidshorisont,BlankTegn,IF(DL$2=0,SUM(Materialedata[[#This Row],[A1-A3/m²]:[A4/m²]]),
DK43+IF(DL$2=Input_Tidshorisont,SUM(Materialedata[[#This Row],[C3/m²]:[C4/m²]]),IF(MOD(DL$2,Materialedata[[#This Row],[Levetid]])=0,SUM(Materialedata[[#This Row],[A1-A3/m²]:[C4/m²]]),0))
))</f>
        <v>.</v>
      </c>
      <c r="DM43" s="19"/>
    </row>
    <row r="44" spans="1:117" ht="36">
      <c r="A44" s="182" t="s">
        <v>36</v>
      </c>
      <c r="B44" s="182" t="s">
        <v>37</v>
      </c>
      <c r="C44" s="148" t="s">
        <v>184</v>
      </c>
      <c r="D44" s="180"/>
      <c r="E44" s="180" t="s">
        <v>287</v>
      </c>
      <c r="F44" s="182" t="s">
        <v>29</v>
      </c>
      <c r="G44" s="182">
        <v>30</v>
      </c>
      <c r="H44" s="183">
        <v>920</v>
      </c>
      <c r="I44" s="184">
        <v>5.0000000000000001E-4</v>
      </c>
      <c r="J44" s="184" t="s">
        <v>232</v>
      </c>
      <c r="K44" s="182">
        <v>0.28499999999999998</v>
      </c>
      <c r="L44" s="182" t="s">
        <v>222</v>
      </c>
      <c r="M44" s="185">
        <f>IF(ISBLANK(Materialedata[[#This Row],[A4-gruppe]]),BlankTegn,INDEX(Byggeproces[GWP],MATCH(Materialedata[[#This Row],[A4-gruppe]],Byggeproces[Gruppe/Undergruppe],0)))</f>
        <v>0.50860000000000005</v>
      </c>
      <c r="N44" s="182">
        <v>0</v>
      </c>
      <c r="O44" s="182">
        <v>9.4700000000000006E-2</v>
      </c>
      <c r="P44" s="182">
        <v>-8.2199999999999995E-2</v>
      </c>
      <c r="Q44" s="277">
        <f>Materialedata[[#This Row],[A1-A3/standardenhed]]</f>
        <v>0.28499999999999998</v>
      </c>
      <c r="R44" s="278" cm="1">
        <f t="array" ref="R44">IFERROR(_xlfn.IFS(Materialedata[[#This Row],[Mængde-enhed]]="kg/m²",Materialedata[[#This Row],[A4/kg]]*Materialedata[[#This Row],[Mængde/m²]],Materialedata[[#This Row],[Mængde-enhed]]="m³/m²",Materialedata[[#This Row],[A4/kg]]*Materialedata[[#This Row],[Mængde/m²]]*Materialedata[[#This Row],[Densitet]]),"N/A")</f>
        <v>0.23395600000000005</v>
      </c>
      <c r="S44" s="277">
        <f>Materialedata[[#This Row],[C3/enhed]]</f>
        <v>0</v>
      </c>
      <c r="T44" s="277">
        <f>Materialedata[[#This Row],[C4/enhed]]</f>
        <v>9.4700000000000006E-2</v>
      </c>
      <c r="U44" s="277">
        <f>Materialedata[[#This Row],[D/enhed]]</f>
        <v>-8.2199999999999995E-2</v>
      </c>
      <c r="V44" s="150">
        <f>IFERROR(INDEX(Range_Materiale_Genbrug,MATCH(Materialedata[[#This Row],[Komponent]],Facadekomponenter,0)),BlankTegn)</f>
        <v>0</v>
      </c>
      <c r="W44" s="150">
        <f>IFERROR(1-Materialedata[[#This Row],[Genbrug]],BlankTegn)</f>
        <v>1</v>
      </c>
      <c r="X44" s="186">
        <f>IFERROR(Materialedata[[#This Row],[A1-A3/m²_nyt]]*Materialedata[[#This Row],[Nyt]],BlankTegn)</f>
        <v>0.28499999999999998</v>
      </c>
      <c r="Y44" s="186">
        <f>Materialedata[[#This Row],[A4/m²_nyt]]</f>
        <v>0.23395600000000005</v>
      </c>
      <c r="Z44" s="186">
        <f>IFERROR(Materialedata[[#This Row],[C3/m²_nyt]]*Materialedata[[#This Row],[Nyt]],BlankTegn)</f>
        <v>0</v>
      </c>
      <c r="AA44" s="186">
        <f>IFERROR(Materialedata[[#This Row],[C4/m²_nyt]]*Materialedata[[#This Row],[Nyt]],BlankTegn)</f>
        <v>9.4700000000000006E-2</v>
      </c>
      <c r="AB44" s="186">
        <f>IFERROR(Materialedata[[#This Row],[D/m²_nyt]]*Materialedata[[#This Row],[Nyt]],BlankTegn)</f>
        <v>-8.2199999999999995E-2</v>
      </c>
      <c r="AC44" s="187">
        <v>36.779984477224431</v>
      </c>
      <c r="AD44" s="188" t="s">
        <v>29</v>
      </c>
      <c r="AE44" s="182">
        <v>1</v>
      </c>
      <c r="AF44" s="189">
        <f>Materialedata[[#This Row],[Pris/enhed]]*Materialedata[[#This Row],[Omregning]]</f>
        <v>36.779984477224431</v>
      </c>
      <c r="AG44" s="190">
        <v>0.02</v>
      </c>
      <c r="AH44" s="191">
        <v>1</v>
      </c>
      <c r="AI44" s="162">
        <v>0</v>
      </c>
      <c r="AJ44" s="141">
        <f>IF(AJ$2&gt;Input_Tidshorisont,BlankTegn,IF(AJ$2=0,SUM(Materialedata[[#This Row],[A1-A3/m²]:[A4/m²]]),
AI44+IF(AJ$2=Input_Tidshorisont,SUM(Materialedata[[#This Row],[C3/m²]:[C4/m²]]),IF(MOD(AJ$2,Materialedata[[#This Row],[Levetid]])=0,SUM(Materialedata[[#This Row],[A1-A3/m²]:[C4/m²]]),0))
))</f>
        <v>0.51895599999999997</v>
      </c>
      <c r="AK44" s="141">
        <f>IF(AK$2&gt;Input_Tidshorisont,BlankTegn,IF(AK$2=0,SUM(Materialedata[[#This Row],[A1-A3/m²]:[A4/m²]]),
AJ44+IF(AK$2=Input_Tidshorisont,SUM(Materialedata[[#This Row],[C3/m²]:[C4/m²]]),IF(MOD(AK$2,Materialedata[[#This Row],[Levetid]])=0,SUM(Materialedata[[#This Row],[A1-A3/m²]:[C4/m²]]),0))
))</f>
        <v>0.51895599999999997</v>
      </c>
      <c r="AL44" s="141">
        <f>IF(AL$2&gt;Input_Tidshorisont,BlankTegn,IF(AL$2=0,SUM(Materialedata[[#This Row],[A1-A3/m²]:[A4/m²]]),
AK44+IF(AL$2=Input_Tidshorisont,SUM(Materialedata[[#This Row],[C3/m²]:[C4/m²]]),IF(MOD(AL$2,Materialedata[[#This Row],[Levetid]])=0,SUM(Materialedata[[#This Row],[A1-A3/m²]:[C4/m²]]),0))
))</f>
        <v>0.51895599999999997</v>
      </c>
      <c r="AM44" s="141">
        <f>IF(AM$2&gt;Input_Tidshorisont,BlankTegn,IF(AM$2=0,SUM(Materialedata[[#This Row],[A1-A3/m²]:[A4/m²]]),
AL44+IF(AM$2=Input_Tidshorisont,SUM(Materialedata[[#This Row],[C3/m²]:[C4/m²]]),IF(MOD(AM$2,Materialedata[[#This Row],[Levetid]])=0,SUM(Materialedata[[#This Row],[A1-A3/m²]:[C4/m²]]),0))
))</f>
        <v>0.51895599999999997</v>
      </c>
      <c r="AN44" s="141">
        <f>IF(AN$2&gt;Input_Tidshorisont,BlankTegn,IF(AN$2=0,SUM(Materialedata[[#This Row],[A1-A3/m²]:[A4/m²]]),
AM44+IF(AN$2=Input_Tidshorisont,SUM(Materialedata[[#This Row],[C3/m²]:[C4/m²]]),IF(MOD(AN$2,Materialedata[[#This Row],[Levetid]])=0,SUM(Materialedata[[#This Row],[A1-A3/m²]:[C4/m²]]),0))
))</f>
        <v>0.51895599999999997</v>
      </c>
      <c r="AO44" s="141">
        <f>IF(AO$2&gt;Input_Tidshorisont,BlankTegn,IF(AO$2=0,SUM(Materialedata[[#This Row],[A1-A3/m²]:[A4/m²]]),
AN44+IF(AO$2=Input_Tidshorisont,SUM(Materialedata[[#This Row],[C3/m²]:[C4/m²]]),IF(MOD(AO$2,Materialedata[[#This Row],[Levetid]])=0,SUM(Materialedata[[#This Row],[A1-A3/m²]:[C4/m²]]),0))
))</f>
        <v>0.51895599999999997</v>
      </c>
      <c r="AP44" s="141">
        <f>IF(AP$2&gt;Input_Tidshorisont,BlankTegn,IF(AP$2=0,SUM(Materialedata[[#This Row],[A1-A3/m²]:[A4/m²]]),
AO44+IF(AP$2=Input_Tidshorisont,SUM(Materialedata[[#This Row],[C3/m²]:[C4/m²]]),IF(MOD(AP$2,Materialedata[[#This Row],[Levetid]])=0,SUM(Materialedata[[#This Row],[A1-A3/m²]:[C4/m²]]),0))
))</f>
        <v>0.51895599999999997</v>
      </c>
      <c r="AQ44" s="141">
        <f>IF(AQ$2&gt;Input_Tidshorisont,BlankTegn,IF(AQ$2=0,SUM(Materialedata[[#This Row],[A1-A3/m²]:[A4/m²]]),
AP44+IF(AQ$2=Input_Tidshorisont,SUM(Materialedata[[#This Row],[C3/m²]:[C4/m²]]),IF(MOD(AQ$2,Materialedata[[#This Row],[Levetid]])=0,SUM(Materialedata[[#This Row],[A1-A3/m²]:[C4/m²]]),0))
))</f>
        <v>0.51895599999999997</v>
      </c>
      <c r="AR44" s="141">
        <f>IF(AR$2&gt;Input_Tidshorisont,BlankTegn,IF(AR$2=0,SUM(Materialedata[[#This Row],[A1-A3/m²]:[A4/m²]]),
AQ44+IF(AR$2=Input_Tidshorisont,SUM(Materialedata[[#This Row],[C3/m²]:[C4/m²]]),IF(MOD(AR$2,Materialedata[[#This Row],[Levetid]])=0,SUM(Materialedata[[#This Row],[A1-A3/m²]:[C4/m²]]),0))
))</f>
        <v>0.51895599999999997</v>
      </c>
      <c r="AS44" s="141">
        <f>IF(AS$2&gt;Input_Tidshorisont,BlankTegn,IF(AS$2=0,SUM(Materialedata[[#This Row],[A1-A3/m²]:[A4/m²]]),
AR44+IF(AS$2=Input_Tidshorisont,SUM(Materialedata[[#This Row],[C3/m²]:[C4/m²]]),IF(MOD(AS$2,Materialedata[[#This Row],[Levetid]])=0,SUM(Materialedata[[#This Row],[A1-A3/m²]:[C4/m²]]),0))
))</f>
        <v>0.51895599999999997</v>
      </c>
      <c r="AT44" s="141">
        <f>IF(AT$2&gt;Input_Tidshorisont,BlankTegn,IF(AT$2=0,SUM(Materialedata[[#This Row],[A1-A3/m²]:[A4/m²]]),
AS44+IF(AT$2=Input_Tidshorisont,SUM(Materialedata[[#This Row],[C3/m²]:[C4/m²]]),IF(MOD(AT$2,Materialedata[[#This Row],[Levetid]])=0,SUM(Materialedata[[#This Row],[A1-A3/m²]:[C4/m²]]),0))
))</f>
        <v>0.51895599999999997</v>
      </c>
      <c r="AU44" s="141">
        <f>IF(AU$2&gt;Input_Tidshorisont,BlankTegn,IF(AU$2=0,SUM(Materialedata[[#This Row],[A1-A3/m²]:[A4/m²]]),
AT44+IF(AU$2=Input_Tidshorisont,SUM(Materialedata[[#This Row],[C3/m²]:[C4/m²]]),IF(MOD(AU$2,Materialedata[[#This Row],[Levetid]])=0,SUM(Materialedata[[#This Row],[A1-A3/m²]:[C4/m²]]),0))
))</f>
        <v>0.51895599999999997</v>
      </c>
      <c r="AV44" s="141">
        <f>IF(AV$2&gt;Input_Tidshorisont,BlankTegn,IF(AV$2=0,SUM(Materialedata[[#This Row],[A1-A3/m²]:[A4/m²]]),
AU44+IF(AV$2=Input_Tidshorisont,SUM(Materialedata[[#This Row],[C3/m²]:[C4/m²]]),IF(MOD(AV$2,Materialedata[[#This Row],[Levetid]])=0,SUM(Materialedata[[#This Row],[A1-A3/m²]:[C4/m²]]),0))
))</f>
        <v>0.51895599999999997</v>
      </c>
      <c r="AW44" s="141">
        <f>IF(AW$2&gt;Input_Tidshorisont,BlankTegn,IF(AW$2=0,SUM(Materialedata[[#This Row],[A1-A3/m²]:[A4/m²]]),
AV44+IF(AW$2=Input_Tidshorisont,SUM(Materialedata[[#This Row],[C3/m²]:[C4/m²]]),IF(MOD(AW$2,Materialedata[[#This Row],[Levetid]])=0,SUM(Materialedata[[#This Row],[A1-A3/m²]:[C4/m²]]),0))
))</f>
        <v>0.51895599999999997</v>
      </c>
      <c r="AX44" s="141">
        <f>IF(AX$2&gt;Input_Tidshorisont,BlankTegn,IF(AX$2=0,SUM(Materialedata[[#This Row],[A1-A3/m²]:[A4/m²]]),
AW44+IF(AX$2=Input_Tidshorisont,SUM(Materialedata[[#This Row],[C3/m²]:[C4/m²]]),IF(MOD(AX$2,Materialedata[[#This Row],[Levetid]])=0,SUM(Materialedata[[#This Row],[A1-A3/m²]:[C4/m²]]),0))
))</f>
        <v>0.51895599999999997</v>
      </c>
      <c r="AY44" s="141">
        <f>IF(AY$2&gt;Input_Tidshorisont,BlankTegn,IF(AY$2=0,SUM(Materialedata[[#This Row],[A1-A3/m²]:[A4/m²]]),
AX44+IF(AY$2=Input_Tidshorisont,SUM(Materialedata[[#This Row],[C3/m²]:[C4/m²]]),IF(MOD(AY$2,Materialedata[[#This Row],[Levetid]])=0,SUM(Materialedata[[#This Row],[A1-A3/m²]:[C4/m²]]),0))
))</f>
        <v>0.51895599999999997</v>
      </c>
      <c r="AZ44" s="141">
        <f>IF(AZ$2&gt;Input_Tidshorisont,BlankTegn,IF(AZ$2=0,SUM(Materialedata[[#This Row],[A1-A3/m²]:[A4/m²]]),
AY44+IF(AZ$2=Input_Tidshorisont,SUM(Materialedata[[#This Row],[C3/m²]:[C4/m²]]),IF(MOD(AZ$2,Materialedata[[#This Row],[Levetid]])=0,SUM(Materialedata[[#This Row],[A1-A3/m²]:[C4/m²]]),0))
))</f>
        <v>0.51895599999999997</v>
      </c>
      <c r="BA44" s="141">
        <f>IF(BA$2&gt;Input_Tidshorisont,BlankTegn,IF(BA$2=0,SUM(Materialedata[[#This Row],[A1-A3/m²]:[A4/m²]]),
AZ44+IF(BA$2=Input_Tidshorisont,SUM(Materialedata[[#This Row],[C3/m²]:[C4/m²]]),IF(MOD(BA$2,Materialedata[[#This Row],[Levetid]])=0,SUM(Materialedata[[#This Row],[A1-A3/m²]:[C4/m²]]),0))
))</f>
        <v>0.51895599999999997</v>
      </c>
      <c r="BB44" s="141">
        <f>IF(BB$2&gt;Input_Tidshorisont,BlankTegn,IF(BB$2=0,SUM(Materialedata[[#This Row],[A1-A3/m²]:[A4/m²]]),
BA44+IF(BB$2=Input_Tidshorisont,SUM(Materialedata[[#This Row],[C3/m²]:[C4/m²]]),IF(MOD(BB$2,Materialedata[[#This Row],[Levetid]])=0,SUM(Materialedata[[#This Row],[A1-A3/m²]:[C4/m²]]),0))
))</f>
        <v>0.51895599999999997</v>
      </c>
      <c r="BC44" s="141">
        <f>IF(BC$2&gt;Input_Tidshorisont,BlankTegn,IF(BC$2=0,SUM(Materialedata[[#This Row],[A1-A3/m²]:[A4/m²]]),
BB44+IF(BC$2=Input_Tidshorisont,SUM(Materialedata[[#This Row],[C3/m²]:[C4/m²]]),IF(MOD(BC$2,Materialedata[[#This Row],[Levetid]])=0,SUM(Materialedata[[#This Row],[A1-A3/m²]:[C4/m²]]),0))
))</f>
        <v>0.51895599999999997</v>
      </c>
      <c r="BD44" s="141">
        <f>IF(BD$2&gt;Input_Tidshorisont,BlankTegn,IF(BD$2=0,SUM(Materialedata[[#This Row],[A1-A3/m²]:[A4/m²]]),
BC44+IF(BD$2=Input_Tidshorisont,SUM(Materialedata[[#This Row],[C3/m²]:[C4/m²]]),IF(MOD(BD$2,Materialedata[[#This Row],[Levetid]])=0,SUM(Materialedata[[#This Row],[A1-A3/m²]:[C4/m²]]),0))
))</f>
        <v>0.51895599999999997</v>
      </c>
      <c r="BE44" s="141">
        <f>IF(BE$2&gt;Input_Tidshorisont,BlankTegn,IF(BE$2=0,SUM(Materialedata[[#This Row],[A1-A3/m²]:[A4/m²]]),
BD44+IF(BE$2=Input_Tidshorisont,SUM(Materialedata[[#This Row],[C3/m²]:[C4/m²]]),IF(MOD(BE$2,Materialedata[[#This Row],[Levetid]])=0,SUM(Materialedata[[#This Row],[A1-A3/m²]:[C4/m²]]),0))
))</f>
        <v>0.51895599999999997</v>
      </c>
      <c r="BF44" s="141">
        <f>IF(BF$2&gt;Input_Tidshorisont,BlankTegn,IF(BF$2=0,SUM(Materialedata[[#This Row],[A1-A3/m²]:[A4/m²]]),
BE44+IF(BF$2=Input_Tidshorisont,SUM(Materialedata[[#This Row],[C3/m²]:[C4/m²]]),IF(MOD(BF$2,Materialedata[[#This Row],[Levetid]])=0,SUM(Materialedata[[#This Row],[A1-A3/m²]:[C4/m²]]),0))
))</f>
        <v>0.51895599999999997</v>
      </c>
      <c r="BG44" s="141">
        <f>IF(BG$2&gt;Input_Tidshorisont,BlankTegn,IF(BG$2=0,SUM(Materialedata[[#This Row],[A1-A3/m²]:[A4/m²]]),
BF44+IF(BG$2=Input_Tidshorisont,SUM(Materialedata[[#This Row],[C3/m²]:[C4/m²]]),IF(MOD(BG$2,Materialedata[[#This Row],[Levetid]])=0,SUM(Materialedata[[#This Row],[A1-A3/m²]:[C4/m²]]),0))
))</f>
        <v>0.51895599999999997</v>
      </c>
      <c r="BH44" s="141">
        <f>IF(BH$2&gt;Input_Tidshorisont,BlankTegn,IF(BH$2=0,SUM(Materialedata[[#This Row],[A1-A3/m²]:[A4/m²]]),
BG44+IF(BH$2=Input_Tidshorisont,SUM(Materialedata[[#This Row],[C3/m²]:[C4/m²]]),IF(MOD(BH$2,Materialedata[[#This Row],[Levetid]])=0,SUM(Materialedata[[#This Row],[A1-A3/m²]:[C4/m²]]),0))
))</f>
        <v>0.51895599999999997</v>
      </c>
      <c r="BI44" s="141">
        <f>IF(BI$2&gt;Input_Tidshorisont,BlankTegn,IF(BI$2=0,SUM(Materialedata[[#This Row],[A1-A3/m²]:[A4/m²]]),
BH44+IF(BI$2=Input_Tidshorisont,SUM(Materialedata[[#This Row],[C3/m²]:[C4/m²]]),IF(MOD(BI$2,Materialedata[[#This Row],[Levetid]])=0,SUM(Materialedata[[#This Row],[A1-A3/m²]:[C4/m²]]),0))
))</f>
        <v>0.51895599999999997</v>
      </c>
      <c r="BJ44" s="141">
        <f>IF(BJ$2&gt;Input_Tidshorisont,BlankTegn,IF(BJ$2=0,SUM(Materialedata[[#This Row],[A1-A3/m²]:[A4/m²]]),
BI44+IF(BJ$2=Input_Tidshorisont,SUM(Materialedata[[#This Row],[C3/m²]:[C4/m²]]),IF(MOD(BJ$2,Materialedata[[#This Row],[Levetid]])=0,SUM(Materialedata[[#This Row],[A1-A3/m²]:[C4/m²]]),0))
))</f>
        <v>0.51895599999999997</v>
      </c>
      <c r="BK44" s="141">
        <f>IF(BK$2&gt;Input_Tidshorisont,BlankTegn,IF(BK$2=0,SUM(Materialedata[[#This Row],[A1-A3/m²]:[A4/m²]]),
BJ44+IF(BK$2=Input_Tidshorisont,SUM(Materialedata[[#This Row],[C3/m²]:[C4/m²]]),IF(MOD(BK$2,Materialedata[[#This Row],[Levetid]])=0,SUM(Materialedata[[#This Row],[A1-A3/m²]:[C4/m²]]),0))
))</f>
        <v>0.51895599999999997</v>
      </c>
      <c r="BL44" s="141">
        <f>IF(BL$2&gt;Input_Tidshorisont,BlankTegn,IF(BL$2=0,SUM(Materialedata[[#This Row],[A1-A3/m²]:[A4/m²]]),
BK44+IF(BL$2=Input_Tidshorisont,SUM(Materialedata[[#This Row],[C3/m²]:[C4/m²]]),IF(MOD(BL$2,Materialedata[[#This Row],[Levetid]])=0,SUM(Materialedata[[#This Row],[A1-A3/m²]:[C4/m²]]),0))
))</f>
        <v>0.51895599999999997</v>
      </c>
      <c r="BM44" s="141">
        <f>IF(BM$2&gt;Input_Tidshorisont,BlankTegn,IF(BM$2=0,SUM(Materialedata[[#This Row],[A1-A3/m²]:[A4/m²]]),
BL44+IF(BM$2=Input_Tidshorisont,SUM(Materialedata[[#This Row],[C3/m²]:[C4/m²]]),IF(MOD(BM$2,Materialedata[[#This Row],[Levetid]])=0,SUM(Materialedata[[#This Row],[A1-A3/m²]:[C4/m²]]),0))
))</f>
        <v>0.51895599999999997</v>
      </c>
      <c r="BN44" s="141">
        <f>IF(BN$2&gt;Input_Tidshorisont,BlankTegn,IF(BN$2=0,SUM(Materialedata[[#This Row],[A1-A3/m²]:[A4/m²]]),
BM44+IF(BN$2=Input_Tidshorisont,SUM(Materialedata[[#This Row],[C3/m²]:[C4/m²]]),IF(MOD(BN$2,Materialedata[[#This Row],[Levetid]])=0,SUM(Materialedata[[#This Row],[A1-A3/m²]:[C4/m²]]),0))
))</f>
        <v>1.132612</v>
      </c>
      <c r="BO44" s="141">
        <f>IF(BO$2&gt;Input_Tidshorisont,BlankTegn,IF(BO$2=0,SUM(Materialedata[[#This Row],[A1-A3/m²]:[A4/m²]]),
BN44+IF(BO$2=Input_Tidshorisont,SUM(Materialedata[[#This Row],[C3/m²]:[C4/m²]]),IF(MOD(BO$2,Materialedata[[#This Row],[Levetid]])=0,SUM(Materialedata[[#This Row],[A1-A3/m²]:[C4/m²]]),0))
))</f>
        <v>1.132612</v>
      </c>
      <c r="BP44" s="141">
        <f>IF(BP$2&gt;Input_Tidshorisont,BlankTegn,IF(BP$2=0,SUM(Materialedata[[#This Row],[A1-A3/m²]:[A4/m²]]),
BO44+IF(BP$2=Input_Tidshorisont,SUM(Materialedata[[#This Row],[C3/m²]:[C4/m²]]),IF(MOD(BP$2,Materialedata[[#This Row],[Levetid]])=0,SUM(Materialedata[[#This Row],[A1-A3/m²]:[C4/m²]]),0))
))</f>
        <v>1.132612</v>
      </c>
      <c r="BQ44" s="141">
        <f>IF(BQ$2&gt;Input_Tidshorisont,BlankTegn,IF(BQ$2=0,SUM(Materialedata[[#This Row],[A1-A3/m²]:[A4/m²]]),
BP44+IF(BQ$2=Input_Tidshorisont,SUM(Materialedata[[#This Row],[C3/m²]:[C4/m²]]),IF(MOD(BQ$2,Materialedata[[#This Row],[Levetid]])=0,SUM(Materialedata[[#This Row],[A1-A3/m²]:[C4/m²]]),0))
))</f>
        <v>1.132612</v>
      </c>
      <c r="BR44" s="141">
        <f>IF(BR$2&gt;Input_Tidshorisont,BlankTegn,IF(BR$2=0,SUM(Materialedata[[#This Row],[A1-A3/m²]:[A4/m²]]),
BQ44+IF(BR$2=Input_Tidshorisont,SUM(Materialedata[[#This Row],[C3/m²]:[C4/m²]]),IF(MOD(BR$2,Materialedata[[#This Row],[Levetid]])=0,SUM(Materialedata[[#This Row],[A1-A3/m²]:[C4/m²]]),0))
))</f>
        <v>1.132612</v>
      </c>
      <c r="BS44" s="141">
        <f>IF(BS$2&gt;Input_Tidshorisont,BlankTegn,IF(BS$2=0,SUM(Materialedata[[#This Row],[A1-A3/m²]:[A4/m²]]),
BR44+IF(BS$2=Input_Tidshorisont,SUM(Materialedata[[#This Row],[C3/m²]:[C4/m²]]),IF(MOD(BS$2,Materialedata[[#This Row],[Levetid]])=0,SUM(Materialedata[[#This Row],[A1-A3/m²]:[C4/m²]]),0))
))</f>
        <v>1.132612</v>
      </c>
      <c r="BT44" s="141">
        <f>IF(BT$2&gt;Input_Tidshorisont,BlankTegn,IF(BT$2=0,SUM(Materialedata[[#This Row],[A1-A3/m²]:[A4/m²]]),
BS44+IF(BT$2=Input_Tidshorisont,SUM(Materialedata[[#This Row],[C3/m²]:[C4/m²]]),IF(MOD(BT$2,Materialedata[[#This Row],[Levetid]])=0,SUM(Materialedata[[#This Row],[A1-A3/m²]:[C4/m²]]),0))
))</f>
        <v>1.132612</v>
      </c>
      <c r="BU44" s="141">
        <f>IF(BU$2&gt;Input_Tidshorisont,BlankTegn,IF(BU$2=0,SUM(Materialedata[[#This Row],[A1-A3/m²]:[A4/m²]]),
BT44+IF(BU$2=Input_Tidshorisont,SUM(Materialedata[[#This Row],[C3/m²]:[C4/m²]]),IF(MOD(BU$2,Materialedata[[#This Row],[Levetid]])=0,SUM(Materialedata[[#This Row],[A1-A3/m²]:[C4/m²]]),0))
))</f>
        <v>1.132612</v>
      </c>
      <c r="BV44" s="141">
        <f>IF(BV$2&gt;Input_Tidshorisont,BlankTegn,IF(BV$2=0,SUM(Materialedata[[#This Row],[A1-A3/m²]:[A4/m²]]),
BU44+IF(BV$2=Input_Tidshorisont,SUM(Materialedata[[#This Row],[C3/m²]:[C4/m²]]),IF(MOD(BV$2,Materialedata[[#This Row],[Levetid]])=0,SUM(Materialedata[[#This Row],[A1-A3/m²]:[C4/m²]]),0))
))</f>
        <v>1.132612</v>
      </c>
      <c r="BW44" s="141">
        <f>IF(BW$2&gt;Input_Tidshorisont,BlankTegn,IF(BW$2=0,SUM(Materialedata[[#This Row],[A1-A3/m²]:[A4/m²]]),
BV44+IF(BW$2=Input_Tidshorisont,SUM(Materialedata[[#This Row],[C3/m²]:[C4/m²]]),IF(MOD(BW$2,Materialedata[[#This Row],[Levetid]])=0,SUM(Materialedata[[#This Row],[A1-A3/m²]:[C4/m²]]),0))
))</f>
        <v>1.132612</v>
      </c>
      <c r="BX44" s="141">
        <f>IF(BX$2&gt;Input_Tidshorisont,BlankTegn,IF(BX$2=0,SUM(Materialedata[[#This Row],[A1-A3/m²]:[A4/m²]]),
BW44+IF(BX$2=Input_Tidshorisont,SUM(Materialedata[[#This Row],[C3/m²]:[C4/m²]]),IF(MOD(BX$2,Materialedata[[#This Row],[Levetid]])=0,SUM(Materialedata[[#This Row],[A1-A3/m²]:[C4/m²]]),0))
))</f>
        <v>1.132612</v>
      </c>
      <c r="BY44" s="141">
        <f>IF(BY$2&gt;Input_Tidshorisont,BlankTegn,IF(BY$2=0,SUM(Materialedata[[#This Row],[A1-A3/m²]:[A4/m²]]),
BX44+IF(BY$2=Input_Tidshorisont,SUM(Materialedata[[#This Row],[C3/m²]:[C4/m²]]),IF(MOD(BY$2,Materialedata[[#This Row],[Levetid]])=0,SUM(Materialedata[[#This Row],[A1-A3/m²]:[C4/m²]]),0))
))</f>
        <v>1.132612</v>
      </c>
      <c r="BZ44" s="141">
        <f>IF(BZ$2&gt;Input_Tidshorisont,BlankTegn,IF(BZ$2=0,SUM(Materialedata[[#This Row],[A1-A3/m²]:[A4/m²]]),
BY44+IF(BZ$2=Input_Tidshorisont,SUM(Materialedata[[#This Row],[C3/m²]:[C4/m²]]),IF(MOD(BZ$2,Materialedata[[#This Row],[Levetid]])=0,SUM(Materialedata[[#This Row],[A1-A3/m²]:[C4/m²]]),0))
))</f>
        <v>1.132612</v>
      </c>
      <c r="CA44" s="141">
        <f>IF(CA$2&gt;Input_Tidshorisont,BlankTegn,IF(CA$2=0,SUM(Materialedata[[#This Row],[A1-A3/m²]:[A4/m²]]),
BZ44+IF(CA$2=Input_Tidshorisont,SUM(Materialedata[[#This Row],[C3/m²]:[C4/m²]]),IF(MOD(CA$2,Materialedata[[#This Row],[Levetid]])=0,SUM(Materialedata[[#This Row],[A1-A3/m²]:[C4/m²]]),0))
))</f>
        <v>1.132612</v>
      </c>
      <c r="CB44" s="141">
        <f>IF(CB$2&gt;Input_Tidshorisont,BlankTegn,IF(CB$2=0,SUM(Materialedata[[#This Row],[A1-A3/m²]:[A4/m²]]),
CA44+IF(CB$2=Input_Tidshorisont,SUM(Materialedata[[#This Row],[C3/m²]:[C4/m²]]),IF(MOD(CB$2,Materialedata[[#This Row],[Levetid]])=0,SUM(Materialedata[[#This Row],[A1-A3/m²]:[C4/m²]]),0))
))</f>
        <v>1.132612</v>
      </c>
      <c r="CC44" s="141">
        <f>IF(CC$2&gt;Input_Tidshorisont,BlankTegn,IF(CC$2=0,SUM(Materialedata[[#This Row],[A1-A3/m²]:[A4/m²]]),
CB44+IF(CC$2=Input_Tidshorisont,SUM(Materialedata[[#This Row],[C3/m²]:[C4/m²]]),IF(MOD(CC$2,Materialedata[[#This Row],[Levetid]])=0,SUM(Materialedata[[#This Row],[A1-A3/m²]:[C4/m²]]),0))
))</f>
        <v>1.132612</v>
      </c>
      <c r="CD44" s="141">
        <f>IF(CD$2&gt;Input_Tidshorisont,BlankTegn,IF(CD$2=0,SUM(Materialedata[[#This Row],[A1-A3/m²]:[A4/m²]]),
CC44+IF(CD$2=Input_Tidshorisont,SUM(Materialedata[[#This Row],[C3/m²]:[C4/m²]]),IF(MOD(CD$2,Materialedata[[#This Row],[Levetid]])=0,SUM(Materialedata[[#This Row],[A1-A3/m²]:[C4/m²]]),0))
))</f>
        <v>1.132612</v>
      </c>
      <c r="CE44" s="141">
        <f>IF(CE$2&gt;Input_Tidshorisont,BlankTegn,IF(CE$2=0,SUM(Materialedata[[#This Row],[A1-A3/m²]:[A4/m²]]),
CD44+IF(CE$2=Input_Tidshorisont,SUM(Materialedata[[#This Row],[C3/m²]:[C4/m²]]),IF(MOD(CE$2,Materialedata[[#This Row],[Levetid]])=0,SUM(Materialedata[[#This Row],[A1-A3/m²]:[C4/m²]]),0))
))</f>
        <v>1.132612</v>
      </c>
      <c r="CF44" s="141">
        <f>IF(CF$2&gt;Input_Tidshorisont,BlankTegn,IF(CF$2=0,SUM(Materialedata[[#This Row],[A1-A3/m²]:[A4/m²]]),
CE44+IF(CF$2=Input_Tidshorisont,SUM(Materialedata[[#This Row],[C3/m²]:[C4/m²]]),IF(MOD(CF$2,Materialedata[[#This Row],[Levetid]])=0,SUM(Materialedata[[#This Row],[A1-A3/m²]:[C4/m²]]),0))
))</f>
        <v>1.132612</v>
      </c>
      <c r="CG44" s="141">
        <f>IF(CG$2&gt;Input_Tidshorisont,BlankTegn,IF(CG$2=0,SUM(Materialedata[[#This Row],[A1-A3/m²]:[A4/m²]]),
CF44+IF(CG$2=Input_Tidshorisont,SUM(Materialedata[[#This Row],[C3/m²]:[C4/m²]]),IF(MOD(CG$2,Materialedata[[#This Row],[Levetid]])=0,SUM(Materialedata[[#This Row],[A1-A3/m²]:[C4/m²]]),0))
))</f>
        <v>1.132612</v>
      </c>
      <c r="CH44" s="141">
        <f>IF(CH$2&gt;Input_Tidshorisont,BlankTegn,IF(CH$2=0,SUM(Materialedata[[#This Row],[A1-A3/m²]:[A4/m²]]),
CG44+IF(CH$2=Input_Tidshorisont,SUM(Materialedata[[#This Row],[C3/m²]:[C4/m²]]),IF(MOD(CH$2,Materialedata[[#This Row],[Levetid]])=0,SUM(Materialedata[[#This Row],[A1-A3/m²]:[C4/m²]]),0))
))</f>
        <v>1.227312</v>
      </c>
      <c r="CI44" s="141" t="str">
        <f>IF(CI$2&gt;Input_Tidshorisont,BlankTegn,IF(CI$2=0,SUM(Materialedata[[#This Row],[A1-A3/m²]:[A4/m²]]),
CH44+IF(CI$2=Input_Tidshorisont,SUM(Materialedata[[#This Row],[C3/m²]:[C4/m²]]),IF(MOD(CI$2,Materialedata[[#This Row],[Levetid]])=0,SUM(Materialedata[[#This Row],[A1-A3/m²]:[C4/m²]]),0))
))</f>
        <v>.</v>
      </c>
      <c r="CJ44" s="141" t="str">
        <f>IF(CJ$2&gt;Input_Tidshorisont,BlankTegn,IF(CJ$2=0,SUM(Materialedata[[#This Row],[A1-A3/m²]:[A4/m²]]),
CI44+IF(CJ$2=Input_Tidshorisont,SUM(Materialedata[[#This Row],[C3/m²]:[C4/m²]]),IF(MOD(CJ$2,Materialedata[[#This Row],[Levetid]])=0,SUM(Materialedata[[#This Row],[A1-A3/m²]:[C4/m²]]),0))
))</f>
        <v>.</v>
      </c>
      <c r="CK44" s="141" t="str">
        <f>IF(CK$2&gt;Input_Tidshorisont,BlankTegn,IF(CK$2=0,SUM(Materialedata[[#This Row],[A1-A3/m²]:[A4/m²]]),
CJ44+IF(CK$2=Input_Tidshorisont,SUM(Materialedata[[#This Row],[C3/m²]:[C4/m²]]),IF(MOD(CK$2,Materialedata[[#This Row],[Levetid]])=0,SUM(Materialedata[[#This Row],[A1-A3/m²]:[C4/m²]]),0))
))</f>
        <v>.</v>
      </c>
      <c r="CL44" s="141" t="str">
        <f>IF(CL$2&gt;Input_Tidshorisont,BlankTegn,IF(CL$2=0,SUM(Materialedata[[#This Row],[A1-A3/m²]:[A4/m²]]),
CK44+IF(CL$2=Input_Tidshorisont,SUM(Materialedata[[#This Row],[C3/m²]:[C4/m²]]),IF(MOD(CL$2,Materialedata[[#This Row],[Levetid]])=0,SUM(Materialedata[[#This Row],[A1-A3/m²]:[C4/m²]]),0))
))</f>
        <v>.</v>
      </c>
      <c r="CM44" s="141" t="str">
        <f>IF(CM$2&gt;Input_Tidshorisont,BlankTegn,IF(CM$2=0,SUM(Materialedata[[#This Row],[A1-A3/m²]:[A4/m²]]),
CL44+IF(CM$2=Input_Tidshorisont,SUM(Materialedata[[#This Row],[C3/m²]:[C4/m²]]),IF(MOD(CM$2,Materialedata[[#This Row],[Levetid]])=0,SUM(Materialedata[[#This Row],[A1-A3/m²]:[C4/m²]]),0))
))</f>
        <v>.</v>
      </c>
      <c r="CN44" s="141" t="str">
        <f>IF(CN$2&gt;Input_Tidshorisont,BlankTegn,IF(CN$2=0,SUM(Materialedata[[#This Row],[A1-A3/m²]:[A4/m²]]),
CM44+IF(CN$2=Input_Tidshorisont,SUM(Materialedata[[#This Row],[C3/m²]:[C4/m²]]),IF(MOD(CN$2,Materialedata[[#This Row],[Levetid]])=0,SUM(Materialedata[[#This Row],[A1-A3/m²]:[C4/m²]]),0))
))</f>
        <v>.</v>
      </c>
      <c r="CO44" s="141" t="str">
        <f>IF(CO$2&gt;Input_Tidshorisont,BlankTegn,IF(CO$2=0,SUM(Materialedata[[#This Row],[A1-A3/m²]:[A4/m²]]),
CN44+IF(CO$2=Input_Tidshorisont,SUM(Materialedata[[#This Row],[C3/m²]:[C4/m²]]),IF(MOD(CO$2,Materialedata[[#This Row],[Levetid]])=0,SUM(Materialedata[[#This Row],[A1-A3/m²]:[C4/m²]]),0))
))</f>
        <v>.</v>
      </c>
      <c r="CP44" s="141" t="str">
        <f>IF(CP$2&gt;Input_Tidshorisont,BlankTegn,IF(CP$2=0,SUM(Materialedata[[#This Row],[A1-A3/m²]:[A4/m²]]),
CO44+IF(CP$2=Input_Tidshorisont,SUM(Materialedata[[#This Row],[C3/m²]:[C4/m²]]),IF(MOD(CP$2,Materialedata[[#This Row],[Levetid]])=0,SUM(Materialedata[[#This Row],[A1-A3/m²]:[C4/m²]]),0))
))</f>
        <v>.</v>
      </c>
      <c r="CQ44" s="141" t="str">
        <f>IF(CQ$2&gt;Input_Tidshorisont,BlankTegn,IF(CQ$2=0,SUM(Materialedata[[#This Row],[A1-A3/m²]:[A4/m²]]),
CP44+IF(CQ$2=Input_Tidshorisont,SUM(Materialedata[[#This Row],[C3/m²]:[C4/m²]]),IF(MOD(CQ$2,Materialedata[[#This Row],[Levetid]])=0,SUM(Materialedata[[#This Row],[A1-A3/m²]:[C4/m²]]),0))
))</f>
        <v>.</v>
      </c>
      <c r="CR44" s="141" t="str">
        <f>IF(CR$2&gt;Input_Tidshorisont,BlankTegn,IF(CR$2=0,SUM(Materialedata[[#This Row],[A1-A3/m²]:[A4/m²]]),
CQ44+IF(CR$2=Input_Tidshorisont,SUM(Materialedata[[#This Row],[C3/m²]:[C4/m²]]),IF(MOD(CR$2,Materialedata[[#This Row],[Levetid]])=0,SUM(Materialedata[[#This Row],[A1-A3/m²]:[C4/m²]]),0))
))</f>
        <v>.</v>
      </c>
      <c r="CS44" s="141" t="str">
        <f>IF(CS$2&gt;Input_Tidshorisont,BlankTegn,IF(CS$2=0,SUM(Materialedata[[#This Row],[A1-A3/m²]:[A4/m²]]),
CR44+IF(CS$2=Input_Tidshorisont,SUM(Materialedata[[#This Row],[C3/m²]:[C4/m²]]),IF(MOD(CS$2,Materialedata[[#This Row],[Levetid]])=0,SUM(Materialedata[[#This Row],[A1-A3/m²]:[C4/m²]]),0))
))</f>
        <v>.</v>
      </c>
      <c r="CT44" s="141" t="str">
        <f>IF(CT$2&gt;Input_Tidshorisont,BlankTegn,IF(CT$2=0,SUM(Materialedata[[#This Row],[A1-A3/m²]:[A4/m²]]),
CS44+IF(CT$2=Input_Tidshorisont,SUM(Materialedata[[#This Row],[C3/m²]:[C4/m²]]),IF(MOD(CT$2,Materialedata[[#This Row],[Levetid]])=0,SUM(Materialedata[[#This Row],[A1-A3/m²]:[C4/m²]]),0))
))</f>
        <v>.</v>
      </c>
      <c r="CU44" s="141" t="str">
        <f>IF(CU$2&gt;Input_Tidshorisont,BlankTegn,IF(CU$2=0,SUM(Materialedata[[#This Row],[A1-A3/m²]:[A4/m²]]),
CT44+IF(CU$2=Input_Tidshorisont,SUM(Materialedata[[#This Row],[C3/m²]:[C4/m²]]),IF(MOD(CU$2,Materialedata[[#This Row],[Levetid]])=0,SUM(Materialedata[[#This Row],[A1-A3/m²]:[C4/m²]]),0))
))</f>
        <v>.</v>
      </c>
      <c r="CV44" s="141" t="str">
        <f>IF(CV$2&gt;Input_Tidshorisont,BlankTegn,IF(CV$2=0,SUM(Materialedata[[#This Row],[A1-A3/m²]:[A4/m²]]),
CU44+IF(CV$2=Input_Tidshorisont,SUM(Materialedata[[#This Row],[C3/m²]:[C4/m²]]),IF(MOD(CV$2,Materialedata[[#This Row],[Levetid]])=0,SUM(Materialedata[[#This Row],[A1-A3/m²]:[C4/m²]]),0))
))</f>
        <v>.</v>
      </c>
      <c r="CW44" s="141" t="str">
        <f>IF(CW$2&gt;Input_Tidshorisont,BlankTegn,IF(CW$2=0,SUM(Materialedata[[#This Row],[A1-A3/m²]:[A4/m²]]),
CV44+IF(CW$2=Input_Tidshorisont,SUM(Materialedata[[#This Row],[C3/m²]:[C4/m²]]),IF(MOD(CW$2,Materialedata[[#This Row],[Levetid]])=0,SUM(Materialedata[[#This Row],[A1-A3/m²]:[C4/m²]]),0))
))</f>
        <v>.</v>
      </c>
      <c r="CX44" s="141" t="str">
        <f>IF(CX$2&gt;Input_Tidshorisont,BlankTegn,IF(CX$2=0,SUM(Materialedata[[#This Row],[A1-A3/m²]:[A4/m²]]),
CW44+IF(CX$2=Input_Tidshorisont,SUM(Materialedata[[#This Row],[C3/m²]:[C4/m²]]),IF(MOD(CX$2,Materialedata[[#This Row],[Levetid]])=0,SUM(Materialedata[[#This Row],[A1-A3/m²]:[C4/m²]]),0))
))</f>
        <v>.</v>
      </c>
      <c r="CY44" s="141" t="str">
        <f>IF(CY$2&gt;Input_Tidshorisont,BlankTegn,IF(CY$2=0,SUM(Materialedata[[#This Row],[A1-A3/m²]:[A4/m²]]),
CX44+IF(CY$2=Input_Tidshorisont,SUM(Materialedata[[#This Row],[C3/m²]:[C4/m²]]),IF(MOD(CY$2,Materialedata[[#This Row],[Levetid]])=0,SUM(Materialedata[[#This Row],[A1-A3/m²]:[C4/m²]]),0))
))</f>
        <v>.</v>
      </c>
      <c r="CZ44" s="141" t="str">
        <f>IF(CZ$2&gt;Input_Tidshorisont,BlankTegn,IF(CZ$2=0,SUM(Materialedata[[#This Row],[A1-A3/m²]:[A4/m²]]),
CY44+IF(CZ$2=Input_Tidshorisont,SUM(Materialedata[[#This Row],[C3/m²]:[C4/m²]]),IF(MOD(CZ$2,Materialedata[[#This Row],[Levetid]])=0,SUM(Materialedata[[#This Row],[A1-A3/m²]:[C4/m²]]),0))
))</f>
        <v>.</v>
      </c>
      <c r="DA44" s="141" t="str">
        <f>IF(DA$2&gt;Input_Tidshorisont,BlankTegn,IF(DA$2=0,SUM(Materialedata[[#This Row],[A1-A3/m²]:[A4/m²]]),
CZ44+IF(DA$2=Input_Tidshorisont,SUM(Materialedata[[#This Row],[C3/m²]:[C4/m²]]),IF(MOD(DA$2,Materialedata[[#This Row],[Levetid]])=0,SUM(Materialedata[[#This Row],[A1-A3/m²]:[C4/m²]]),0))
))</f>
        <v>.</v>
      </c>
      <c r="DB44" s="141" t="str">
        <f>IF(DB$2&gt;Input_Tidshorisont,BlankTegn,IF(DB$2=0,SUM(Materialedata[[#This Row],[A1-A3/m²]:[A4/m²]]),
DA44+IF(DB$2=Input_Tidshorisont,SUM(Materialedata[[#This Row],[C3/m²]:[C4/m²]]),IF(MOD(DB$2,Materialedata[[#This Row],[Levetid]])=0,SUM(Materialedata[[#This Row],[A1-A3/m²]:[C4/m²]]),0))
))</f>
        <v>.</v>
      </c>
      <c r="DC44" s="141" t="str">
        <f>IF(DC$2&gt;Input_Tidshorisont,BlankTegn,IF(DC$2=0,SUM(Materialedata[[#This Row],[A1-A3/m²]:[A4/m²]]),
DB44+IF(DC$2=Input_Tidshorisont,SUM(Materialedata[[#This Row],[C3/m²]:[C4/m²]]),IF(MOD(DC$2,Materialedata[[#This Row],[Levetid]])=0,SUM(Materialedata[[#This Row],[A1-A3/m²]:[C4/m²]]),0))
))</f>
        <v>.</v>
      </c>
      <c r="DD44" s="141" t="str">
        <f>IF(DD$2&gt;Input_Tidshorisont,BlankTegn,IF(DD$2=0,SUM(Materialedata[[#This Row],[A1-A3/m²]:[A4/m²]]),
DC44+IF(DD$2=Input_Tidshorisont,SUM(Materialedata[[#This Row],[C3/m²]:[C4/m²]]),IF(MOD(DD$2,Materialedata[[#This Row],[Levetid]])=0,SUM(Materialedata[[#This Row],[A1-A3/m²]:[C4/m²]]),0))
))</f>
        <v>.</v>
      </c>
      <c r="DE44" s="141" t="str">
        <f>IF(DE$2&gt;Input_Tidshorisont,BlankTegn,IF(DE$2=0,SUM(Materialedata[[#This Row],[A1-A3/m²]:[A4/m²]]),
DD44+IF(DE$2=Input_Tidshorisont,SUM(Materialedata[[#This Row],[C3/m²]:[C4/m²]]),IF(MOD(DE$2,Materialedata[[#This Row],[Levetid]])=0,SUM(Materialedata[[#This Row],[A1-A3/m²]:[C4/m²]]),0))
))</f>
        <v>.</v>
      </c>
      <c r="DF44" s="141" t="str">
        <f>IF(DF$2&gt;Input_Tidshorisont,BlankTegn,IF(DF$2=0,SUM(Materialedata[[#This Row],[A1-A3/m²]:[A4/m²]]),
DE44+IF(DF$2=Input_Tidshorisont,SUM(Materialedata[[#This Row],[C3/m²]:[C4/m²]]),IF(MOD(DF$2,Materialedata[[#This Row],[Levetid]])=0,SUM(Materialedata[[#This Row],[A1-A3/m²]:[C4/m²]]),0))
))</f>
        <v>.</v>
      </c>
      <c r="DG44" s="141" t="str">
        <f>IF(DG$2&gt;Input_Tidshorisont,BlankTegn,IF(DG$2=0,SUM(Materialedata[[#This Row],[A1-A3/m²]:[A4/m²]]),
DF44+IF(DG$2=Input_Tidshorisont,SUM(Materialedata[[#This Row],[C3/m²]:[C4/m²]]),IF(MOD(DG$2,Materialedata[[#This Row],[Levetid]])=0,SUM(Materialedata[[#This Row],[A1-A3/m²]:[C4/m²]]),0))
))</f>
        <v>.</v>
      </c>
      <c r="DH44" s="141" t="str">
        <f>IF(DH$2&gt;Input_Tidshorisont,BlankTegn,IF(DH$2=0,SUM(Materialedata[[#This Row],[A1-A3/m²]:[A4/m²]]),
DG44+IF(DH$2=Input_Tidshorisont,SUM(Materialedata[[#This Row],[C3/m²]:[C4/m²]]),IF(MOD(DH$2,Materialedata[[#This Row],[Levetid]])=0,SUM(Materialedata[[#This Row],[A1-A3/m²]:[C4/m²]]),0))
))</f>
        <v>.</v>
      </c>
      <c r="DI44" s="141" t="str">
        <f>IF(DI$2&gt;Input_Tidshorisont,BlankTegn,IF(DI$2=0,SUM(Materialedata[[#This Row],[A1-A3/m²]:[A4/m²]]),
DH44+IF(DI$2=Input_Tidshorisont,SUM(Materialedata[[#This Row],[C3/m²]:[C4/m²]]),IF(MOD(DI$2,Materialedata[[#This Row],[Levetid]])=0,SUM(Materialedata[[#This Row],[A1-A3/m²]:[C4/m²]]),0))
))</f>
        <v>.</v>
      </c>
      <c r="DJ44" s="141" t="str">
        <f>IF(DJ$2&gt;Input_Tidshorisont,BlankTegn,IF(DJ$2=0,SUM(Materialedata[[#This Row],[A1-A3/m²]:[A4/m²]]),
DI44+IF(DJ$2=Input_Tidshorisont,SUM(Materialedata[[#This Row],[C3/m²]:[C4/m²]]),IF(MOD(DJ$2,Materialedata[[#This Row],[Levetid]])=0,SUM(Materialedata[[#This Row],[A1-A3/m²]:[C4/m²]]),0))
))</f>
        <v>.</v>
      </c>
      <c r="DK44" s="141" t="str">
        <f>IF(DK$2&gt;Input_Tidshorisont,BlankTegn,IF(DK$2=0,SUM(Materialedata[[#This Row],[A1-A3/m²]:[A4/m²]]),
DJ44+IF(DK$2=Input_Tidshorisont,SUM(Materialedata[[#This Row],[C3/m²]:[C4/m²]]),IF(MOD(DK$2,Materialedata[[#This Row],[Levetid]])=0,SUM(Materialedata[[#This Row],[A1-A3/m²]:[C4/m²]]),0))
))</f>
        <v>.</v>
      </c>
      <c r="DL44" s="141" t="str">
        <f>IF(DL$2&gt;Input_Tidshorisont,BlankTegn,IF(DL$2=0,SUM(Materialedata[[#This Row],[A1-A3/m²]:[A4/m²]]),
DK44+IF(DL$2=Input_Tidshorisont,SUM(Materialedata[[#This Row],[C3/m²]:[C4/m²]]),IF(MOD(DL$2,Materialedata[[#This Row],[Levetid]])=0,SUM(Materialedata[[#This Row],[A1-A3/m²]:[C4/m²]]),0))
))</f>
        <v>.</v>
      </c>
      <c r="DM44" s="19"/>
    </row>
    <row r="45" spans="1:117" ht="24">
      <c r="A45" s="182" t="s">
        <v>36</v>
      </c>
      <c r="B45" s="182" t="s">
        <v>186</v>
      </c>
      <c r="C45" s="148" t="s">
        <v>131</v>
      </c>
      <c r="D45" s="149" t="s">
        <v>273</v>
      </c>
      <c r="E45" s="180" t="s">
        <v>187</v>
      </c>
      <c r="F45" s="182" t="s">
        <v>29</v>
      </c>
      <c r="G45" s="182">
        <v>60</v>
      </c>
      <c r="H45" s="183">
        <v>700</v>
      </c>
      <c r="I45" s="184">
        <v>8.9999999999999993E-3</v>
      </c>
      <c r="J45" s="184" t="s">
        <v>232</v>
      </c>
      <c r="K45" s="182">
        <v>1.84</v>
      </c>
      <c r="L45" s="182" t="s">
        <v>211</v>
      </c>
      <c r="M45" s="185">
        <f>IF(ISBLANK(Materialedata[[#This Row],[A4-gruppe]]),BlankTegn,INDEX(Byggeproces[GWP],MATCH(Materialedata[[#This Row],[A4-gruppe]],Byggeproces[Gruppe/Undergruppe],0)))</f>
        <v>1.66E-2</v>
      </c>
      <c r="N45" s="182">
        <v>3.6900000000000002E-2</v>
      </c>
      <c r="O45" s="182">
        <v>0.56100000000000005</v>
      </c>
      <c r="P45" s="182">
        <v>-0.16700000000000001</v>
      </c>
      <c r="Q45" s="277">
        <f>Materialedata[[#This Row],[A1-A3/standardenhed]]</f>
        <v>1.84</v>
      </c>
      <c r="R45" s="278" cm="1">
        <f t="array" ref="R45">IFERROR(_xlfn.IFS(Materialedata[[#This Row],[Mængde-enhed]]="kg/m²",Materialedata[[#This Row],[A4/kg]]*Materialedata[[#This Row],[Mængde/m²]],Materialedata[[#This Row],[Mængde-enhed]]="m³/m²",Materialedata[[#This Row],[A4/kg]]*Materialedata[[#This Row],[Mængde/m²]]*Materialedata[[#This Row],[Densitet]]),"N/A")</f>
        <v>0.10458000000000001</v>
      </c>
      <c r="S45" s="277">
        <f>Materialedata[[#This Row],[C3/enhed]]</f>
        <v>3.6900000000000002E-2</v>
      </c>
      <c r="T45" s="277">
        <f>Materialedata[[#This Row],[C4/enhed]]</f>
        <v>0.56100000000000005</v>
      </c>
      <c r="U45" s="277">
        <f>Materialedata[[#This Row],[D/enhed]]</f>
        <v>-0.16700000000000001</v>
      </c>
      <c r="V45" s="150">
        <f>IFERROR(INDEX(Range_Materiale_Genbrug,MATCH(Materialedata[[#This Row],[Komponent]],Facadekomponenter,0)),BlankTegn)</f>
        <v>0</v>
      </c>
      <c r="W45" s="150">
        <f>IFERROR(1-Materialedata[[#This Row],[Genbrug]],BlankTegn)</f>
        <v>1</v>
      </c>
      <c r="X45" s="186">
        <f>IFERROR(Materialedata[[#This Row],[A1-A3/m²_nyt]]*Materialedata[[#This Row],[Nyt]],BlankTegn)</f>
        <v>1.84</v>
      </c>
      <c r="Y45" s="186">
        <f>Materialedata[[#This Row],[A4/m²_nyt]]</f>
        <v>0.10458000000000001</v>
      </c>
      <c r="Z45" s="186">
        <f>IFERROR(Materialedata[[#This Row],[C3/m²_nyt]]*Materialedata[[#This Row],[Nyt]],BlankTegn)</f>
        <v>3.6900000000000002E-2</v>
      </c>
      <c r="AA45" s="186">
        <f>IFERROR(Materialedata[[#This Row],[C4/m²_nyt]]*Materialedata[[#This Row],[Nyt]],BlankTegn)</f>
        <v>0.56100000000000005</v>
      </c>
      <c r="AB45" s="186">
        <f>IFERROR(Materialedata[[#This Row],[D/m²_nyt]]*Materialedata[[#This Row],[Nyt]],BlankTegn)</f>
        <v>-0.16700000000000001</v>
      </c>
      <c r="AC45" s="187">
        <v>214.48135232875268</v>
      </c>
      <c r="AD45" s="188" t="s">
        <v>29</v>
      </c>
      <c r="AE45" s="182">
        <v>1</v>
      </c>
      <c r="AF45" s="189">
        <f>Materialedata[[#This Row],[Pris/enhed]]*Materialedata[[#This Row],[Omregning]]</f>
        <v>214.48135232875268</v>
      </c>
      <c r="AG45" s="190">
        <v>0.02</v>
      </c>
      <c r="AH45" s="191">
        <v>1</v>
      </c>
      <c r="AI45" s="162">
        <v>0</v>
      </c>
      <c r="AJ45" s="141">
        <f>IF(AJ$2&gt;Input_Tidshorisont,BlankTegn,IF(AJ$2=0,SUM(Materialedata[[#This Row],[A1-A3/m²]:[A4/m²]]),
AI45+IF(AJ$2=Input_Tidshorisont,SUM(Materialedata[[#This Row],[C3/m²]:[C4/m²]]),IF(MOD(AJ$2,Materialedata[[#This Row],[Levetid]])=0,SUM(Materialedata[[#This Row],[A1-A3/m²]:[C4/m²]]),0))
))</f>
        <v>1.9445800000000002</v>
      </c>
      <c r="AK45" s="141">
        <f>IF(AK$2&gt;Input_Tidshorisont,BlankTegn,IF(AK$2=0,SUM(Materialedata[[#This Row],[A1-A3/m²]:[A4/m²]]),
AJ45+IF(AK$2=Input_Tidshorisont,SUM(Materialedata[[#This Row],[C3/m²]:[C4/m²]]),IF(MOD(AK$2,Materialedata[[#This Row],[Levetid]])=0,SUM(Materialedata[[#This Row],[A1-A3/m²]:[C4/m²]]),0))
))</f>
        <v>1.9445800000000002</v>
      </c>
      <c r="AL45" s="141">
        <f>IF(AL$2&gt;Input_Tidshorisont,BlankTegn,IF(AL$2=0,SUM(Materialedata[[#This Row],[A1-A3/m²]:[A4/m²]]),
AK45+IF(AL$2=Input_Tidshorisont,SUM(Materialedata[[#This Row],[C3/m²]:[C4/m²]]),IF(MOD(AL$2,Materialedata[[#This Row],[Levetid]])=0,SUM(Materialedata[[#This Row],[A1-A3/m²]:[C4/m²]]),0))
))</f>
        <v>1.9445800000000002</v>
      </c>
      <c r="AM45" s="141">
        <f>IF(AM$2&gt;Input_Tidshorisont,BlankTegn,IF(AM$2=0,SUM(Materialedata[[#This Row],[A1-A3/m²]:[A4/m²]]),
AL45+IF(AM$2=Input_Tidshorisont,SUM(Materialedata[[#This Row],[C3/m²]:[C4/m²]]),IF(MOD(AM$2,Materialedata[[#This Row],[Levetid]])=0,SUM(Materialedata[[#This Row],[A1-A3/m²]:[C4/m²]]),0))
))</f>
        <v>1.9445800000000002</v>
      </c>
      <c r="AN45" s="141">
        <f>IF(AN$2&gt;Input_Tidshorisont,BlankTegn,IF(AN$2=0,SUM(Materialedata[[#This Row],[A1-A3/m²]:[A4/m²]]),
AM45+IF(AN$2=Input_Tidshorisont,SUM(Materialedata[[#This Row],[C3/m²]:[C4/m²]]),IF(MOD(AN$2,Materialedata[[#This Row],[Levetid]])=0,SUM(Materialedata[[#This Row],[A1-A3/m²]:[C4/m²]]),0))
))</f>
        <v>1.9445800000000002</v>
      </c>
      <c r="AO45" s="141">
        <f>IF(AO$2&gt;Input_Tidshorisont,BlankTegn,IF(AO$2=0,SUM(Materialedata[[#This Row],[A1-A3/m²]:[A4/m²]]),
AN45+IF(AO$2=Input_Tidshorisont,SUM(Materialedata[[#This Row],[C3/m²]:[C4/m²]]),IF(MOD(AO$2,Materialedata[[#This Row],[Levetid]])=0,SUM(Materialedata[[#This Row],[A1-A3/m²]:[C4/m²]]),0))
))</f>
        <v>1.9445800000000002</v>
      </c>
      <c r="AP45" s="141">
        <f>IF(AP$2&gt;Input_Tidshorisont,BlankTegn,IF(AP$2=0,SUM(Materialedata[[#This Row],[A1-A3/m²]:[A4/m²]]),
AO45+IF(AP$2=Input_Tidshorisont,SUM(Materialedata[[#This Row],[C3/m²]:[C4/m²]]),IF(MOD(AP$2,Materialedata[[#This Row],[Levetid]])=0,SUM(Materialedata[[#This Row],[A1-A3/m²]:[C4/m²]]),0))
))</f>
        <v>1.9445800000000002</v>
      </c>
      <c r="AQ45" s="141">
        <f>IF(AQ$2&gt;Input_Tidshorisont,BlankTegn,IF(AQ$2=0,SUM(Materialedata[[#This Row],[A1-A3/m²]:[A4/m²]]),
AP45+IF(AQ$2=Input_Tidshorisont,SUM(Materialedata[[#This Row],[C3/m²]:[C4/m²]]),IF(MOD(AQ$2,Materialedata[[#This Row],[Levetid]])=0,SUM(Materialedata[[#This Row],[A1-A3/m²]:[C4/m²]]),0))
))</f>
        <v>1.9445800000000002</v>
      </c>
      <c r="AR45" s="141">
        <f>IF(AR$2&gt;Input_Tidshorisont,BlankTegn,IF(AR$2=0,SUM(Materialedata[[#This Row],[A1-A3/m²]:[A4/m²]]),
AQ45+IF(AR$2=Input_Tidshorisont,SUM(Materialedata[[#This Row],[C3/m²]:[C4/m²]]),IF(MOD(AR$2,Materialedata[[#This Row],[Levetid]])=0,SUM(Materialedata[[#This Row],[A1-A3/m²]:[C4/m²]]),0))
))</f>
        <v>1.9445800000000002</v>
      </c>
      <c r="AS45" s="141">
        <f>IF(AS$2&gt;Input_Tidshorisont,BlankTegn,IF(AS$2=0,SUM(Materialedata[[#This Row],[A1-A3/m²]:[A4/m²]]),
AR45+IF(AS$2=Input_Tidshorisont,SUM(Materialedata[[#This Row],[C3/m²]:[C4/m²]]),IF(MOD(AS$2,Materialedata[[#This Row],[Levetid]])=0,SUM(Materialedata[[#This Row],[A1-A3/m²]:[C4/m²]]),0))
))</f>
        <v>1.9445800000000002</v>
      </c>
      <c r="AT45" s="141">
        <f>IF(AT$2&gt;Input_Tidshorisont,BlankTegn,IF(AT$2=0,SUM(Materialedata[[#This Row],[A1-A3/m²]:[A4/m²]]),
AS45+IF(AT$2=Input_Tidshorisont,SUM(Materialedata[[#This Row],[C3/m²]:[C4/m²]]),IF(MOD(AT$2,Materialedata[[#This Row],[Levetid]])=0,SUM(Materialedata[[#This Row],[A1-A3/m²]:[C4/m²]]),0))
))</f>
        <v>1.9445800000000002</v>
      </c>
      <c r="AU45" s="141">
        <f>IF(AU$2&gt;Input_Tidshorisont,BlankTegn,IF(AU$2=0,SUM(Materialedata[[#This Row],[A1-A3/m²]:[A4/m²]]),
AT45+IF(AU$2=Input_Tidshorisont,SUM(Materialedata[[#This Row],[C3/m²]:[C4/m²]]),IF(MOD(AU$2,Materialedata[[#This Row],[Levetid]])=0,SUM(Materialedata[[#This Row],[A1-A3/m²]:[C4/m²]]),0))
))</f>
        <v>1.9445800000000002</v>
      </c>
      <c r="AV45" s="141">
        <f>IF(AV$2&gt;Input_Tidshorisont,BlankTegn,IF(AV$2=0,SUM(Materialedata[[#This Row],[A1-A3/m²]:[A4/m²]]),
AU45+IF(AV$2=Input_Tidshorisont,SUM(Materialedata[[#This Row],[C3/m²]:[C4/m²]]),IF(MOD(AV$2,Materialedata[[#This Row],[Levetid]])=0,SUM(Materialedata[[#This Row],[A1-A3/m²]:[C4/m²]]),0))
))</f>
        <v>1.9445800000000002</v>
      </c>
      <c r="AW45" s="141">
        <f>IF(AW$2&gt;Input_Tidshorisont,BlankTegn,IF(AW$2=0,SUM(Materialedata[[#This Row],[A1-A3/m²]:[A4/m²]]),
AV45+IF(AW$2=Input_Tidshorisont,SUM(Materialedata[[#This Row],[C3/m²]:[C4/m²]]),IF(MOD(AW$2,Materialedata[[#This Row],[Levetid]])=0,SUM(Materialedata[[#This Row],[A1-A3/m²]:[C4/m²]]),0))
))</f>
        <v>1.9445800000000002</v>
      </c>
      <c r="AX45" s="141">
        <f>IF(AX$2&gt;Input_Tidshorisont,BlankTegn,IF(AX$2=0,SUM(Materialedata[[#This Row],[A1-A3/m²]:[A4/m²]]),
AW45+IF(AX$2=Input_Tidshorisont,SUM(Materialedata[[#This Row],[C3/m²]:[C4/m²]]),IF(MOD(AX$2,Materialedata[[#This Row],[Levetid]])=0,SUM(Materialedata[[#This Row],[A1-A3/m²]:[C4/m²]]),0))
))</f>
        <v>1.9445800000000002</v>
      </c>
      <c r="AY45" s="141">
        <f>IF(AY$2&gt;Input_Tidshorisont,BlankTegn,IF(AY$2=0,SUM(Materialedata[[#This Row],[A1-A3/m²]:[A4/m²]]),
AX45+IF(AY$2=Input_Tidshorisont,SUM(Materialedata[[#This Row],[C3/m²]:[C4/m²]]),IF(MOD(AY$2,Materialedata[[#This Row],[Levetid]])=0,SUM(Materialedata[[#This Row],[A1-A3/m²]:[C4/m²]]),0))
))</f>
        <v>1.9445800000000002</v>
      </c>
      <c r="AZ45" s="141">
        <f>IF(AZ$2&gt;Input_Tidshorisont,BlankTegn,IF(AZ$2=0,SUM(Materialedata[[#This Row],[A1-A3/m²]:[A4/m²]]),
AY45+IF(AZ$2=Input_Tidshorisont,SUM(Materialedata[[#This Row],[C3/m²]:[C4/m²]]),IF(MOD(AZ$2,Materialedata[[#This Row],[Levetid]])=0,SUM(Materialedata[[#This Row],[A1-A3/m²]:[C4/m²]]),0))
))</f>
        <v>1.9445800000000002</v>
      </c>
      <c r="BA45" s="141">
        <f>IF(BA$2&gt;Input_Tidshorisont,BlankTegn,IF(BA$2=0,SUM(Materialedata[[#This Row],[A1-A3/m²]:[A4/m²]]),
AZ45+IF(BA$2=Input_Tidshorisont,SUM(Materialedata[[#This Row],[C3/m²]:[C4/m²]]),IF(MOD(BA$2,Materialedata[[#This Row],[Levetid]])=0,SUM(Materialedata[[#This Row],[A1-A3/m²]:[C4/m²]]),0))
))</f>
        <v>1.9445800000000002</v>
      </c>
      <c r="BB45" s="141">
        <f>IF(BB$2&gt;Input_Tidshorisont,BlankTegn,IF(BB$2=0,SUM(Materialedata[[#This Row],[A1-A3/m²]:[A4/m²]]),
BA45+IF(BB$2=Input_Tidshorisont,SUM(Materialedata[[#This Row],[C3/m²]:[C4/m²]]),IF(MOD(BB$2,Materialedata[[#This Row],[Levetid]])=0,SUM(Materialedata[[#This Row],[A1-A3/m²]:[C4/m²]]),0))
))</f>
        <v>1.9445800000000002</v>
      </c>
      <c r="BC45" s="141">
        <f>IF(BC$2&gt;Input_Tidshorisont,BlankTegn,IF(BC$2=0,SUM(Materialedata[[#This Row],[A1-A3/m²]:[A4/m²]]),
BB45+IF(BC$2=Input_Tidshorisont,SUM(Materialedata[[#This Row],[C3/m²]:[C4/m²]]),IF(MOD(BC$2,Materialedata[[#This Row],[Levetid]])=0,SUM(Materialedata[[#This Row],[A1-A3/m²]:[C4/m²]]),0))
))</f>
        <v>1.9445800000000002</v>
      </c>
      <c r="BD45" s="141">
        <f>IF(BD$2&gt;Input_Tidshorisont,BlankTegn,IF(BD$2=0,SUM(Materialedata[[#This Row],[A1-A3/m²]:[A4/m²]]),
BC45+IF(BD$2=Input_Tidshorisont,SUM(Materialedata[[#This Row],[C3/m²]:[C4/m²]]),IF(MOD(BD$2,Materialedata[[#This Row],[Levetid]])=0,SUM(Materialedata[[#This Row],[A1-A3/m²]:[C4/m²]]),0))
))</f>
        <v>1.9445800000000002</v>
      </c>
      <c r="BE45" s="141">
        <f>IF(BE$2&gt;Input_Tidshorisont,BlankTegn,IF(BE$2=0,SUM(Materialedata[[#This Row],[A1-A3/m²]:[A4/m²]]),
BD45+IF(BE$2=Input_Tidshorisont,SUM(Materialedata[[#This Row],[C3/m²]:[C4/m²]]),IF(MOD(BE$2,Materialedata[[#This Row],[Levetid]])=0,SUM(Materialedata[[#This Row],[A1-A3/m²]:[C4/m²]]),0))
))</f>
        <v>1.9445800000000002</v>
      </c>
      <c r="BF45" s="141">
        <f>IF(BF$2&gt;Input_Tidshorisont,BlankTegn,IF(BF$2=0,SUM(Materialedata[[#This Row],[A1-A3/m²]:[A4/m²]]),
BE45+IF(BF$2=Input_Tidshorisont,SUM(Materialedata[[#This Row],[C3/m²]:[C4/m²]]),IF(MOD(BF$2,Materialedata[[#This Row],[Levetid]])=0,SUM(Materialedata[[#This Row],[A1-A3/m²]:[C4/m²]]),0))
))</f>
        <v>1.9445800000000002</v>
      </c>
      <c r="BG45" s="141">
        <f>IF(BG$2&gt;Input_Tidshorisont,BlankTegn,IF(BG$2=0,SUM(Materialedata[[#This Row],[A1-A3/m²]:[A4/m²]]),
BF45+IF(BG$2=Input_Tidshorisont,SUM(Materialedata[[#This Row],[C3/m²]:[C4/m²]]),IF(MOD(BG$2,Materialedata[[#This Row],[Levetid]])=0,SUM(Materialedata[[#This Row],[A1-A3/m²]:[C4/m²]]),0))
))</f>
        <v>1.9445800000000002</v>
      </c>
      <c r="BH45" s="141">
        <f>IF(BH$2&gt;Input_Tidshorisont,BlankTegn,IF(BH$2=0,SUM(Materialedata[[#This Row],[A1-A3/m²]:[A4/m²]]),
BG45+IF(BH$2=Input_Tidshorisont,SUM(Materialedata[[#This Row],[C3/m²]:[C4/m²]]),IF(MOD(BH$2,Materialedata[[#This Row],[Levetid]])=0,SUM(Materialedata[[#This Row],[A1-A3/m²]:[C4/m²]]),0))
))</f>
        <v>1.9445800000000002</v>
      </c>
      <c r="BI45" s="141">
        <f>IF(BI$2&gt;Input_Tidshorisont,BlankTegn,IF(BI$2=0,SUM(Materialedata[[#This Row],[A1-A3/m²]:[A4/m²]]),
BH45+IF(BI$2=Input_Tidshorisont,SUM(Materialedata[[#This Row],[C3/m²]:[C4/m²]]),IF(MOD(BI$2,Materialedata[[#This Row],[Levetid]])=0,SUM(Materialedata[[#This Row],[A1-A3/m²]:[C4/m²]]),0))
))</f>
        <v>1.9445800000000002</v>
      </c>
      <c r="BJ45" s="141">
        <f>IF(BJ$2&gt;Input_Tidshorisont,BlankTegn,IF(BJ$2=0,SUM(Materialedata[[#This Row],[A1-A3/m²]:[A4/m²]]),
BI45+IF(BJ$2=Input_Tidshorisont,SUM(Materialedata[[#This Row],[C3/m²]:[C4/m²]]),IF(MOD(BJ$2,Materialedata[[#This Row],[Levetid]])=0,SUM(Materialedata[[#This Row],[A1-A3/m²]:[C4/m²]]),0))
))</f>
        <v>1.9445800000000002</v>
      </c>
      <c r="BK45" s="141">
        <f>IF(BK$2&gt;Input_Tidshorisont,BlankTegn,IF(BK$2=0,SUM(Materialedata[[#This Row],[A1-A3/m²]:[A4/m²]]),
BJ45+IF(BK$2=Input_Tidshorisont,SUM(Materialedata[[#This Row],[C3/m²]:[C4/m²]]),IF(MOD(BK$2,Materialedata[[#This Row],[Levetid]])=0,SUM(Materialedata[[#This Row],[A1-A3/m²]:[C4/m²]]),0))
))</f>
        <v>1.9445800000000002</v>
      </c>
      <c r="BL45" s="141">
        <f>IF(BL$2&gt;Input_Tidshorisont,BlankTegn,IF(BL$2=0,SUM(Materialedata[[#This Row],[A1-A3/m²]:[A4/m²]]),
BK45+IF(BL$2=Input_Tidshorisont,SUM(Materialedata[[#This Row],[C3/m²]:[C4/m²]]),IF(MOD(BL$2,Materialedata[[#This Row],[Levetid]])=0,SUM(Materialedata[[#This Row],[A1-A3/m²]:[C4/m²]]),0))
))</f>
        <v>1.9445800000000002</v>
      </c>
      <c r="BM45" s="141">
        <f>IF(BM$2&gt;Input_Tidshorisont,BlankTegn,IF(BM$2=0,SUM(Materialedata[[#This Row],[A1-A3/m²]:[A4/m²]]),
BL45+IF(BM$2=Input_Tidshorisont,SUM(Materialedata[[#This Row],[C3/m²]:[C4/m²]]),IF(MOD(BM$2,Materialedata[[#This Row],[Levetid]])=0,SUM(Materialedata[[#This Row],[A1-A3/m²]:[C4/m²]]),0))
))</f>
        <v>1.9445800000000002</v>
      </c>
      <c r="BN45" s="141">
        <f>IF(BN$2&gt;Input_Tidshorisont,BlankTegn,IF(BN$2=0,SUM(Materialedata[[#This Row],[A1-A3/m²]:[A4/m²]]),
BM45+IF(BN$2=Input_Tidshorisont,SUM(Materialedata[[#This Row],[C3/m²]:[C4/m²]]),IF(MOD(BN$2,Materialedata[[#This Row],[Levetid]])=0,SUM(Materialedata[[#This Row],[A1-A3/m²]:[C4/m²]]),0))
))</f>
        <v>1.9445800000000002</v>
      </c>
      <c r="BO45" s="141">
        <f>IF(BO$2&gt;Input_Tidshorisont,BlankTegn,IF(BO$2=0,SUM(Materialedata[[#This Row],[A1-A3/m²]:[A4/m²]]),
BN45+IF(BO$2=Input_Tidshorisont,SUM(Materialedata[[#This Row],[C3/m²]:[C4/m²]]),IF(MOD(BO$2,Materialedata[[#This Row],[Levetid]])=0,SUM(Materialedata[[#This Row],[A1-A3/m²]:[C4/m²]]),0))
))</f>
        <v>1.9445800000000002</v>
      </c>
      <c r="BP45" s="141">
        <f>IF(BP$2&gt;Input_Tidshorisont,BlankTegn,IF(BP$2=0,SUM(Materialedata[[#This Row],[A1-A3/m²]:[A4/m²]]),
BO45+IF(BP$2=Input_Tidshorisont,SUM(Materialedata[[#This Row],[C3/m²]:[C4/m²]]),IF(MOD(BP$2,Materialedata[[#This Row],[Levetid]])=0,SUM(Materialedata[[#This Row],[A1-A3/m²]:[C4/m²]]),0))
))</f>
        <v>1.9445800000000002</v>
      </c>
      <c r="BQ45" s="141">
        <f>IF(BQ$2&gt;Input_Tidshorisont,BlankTegn,IF(BQ$2=0,SUM(Materialedata[[#This Row],[A1-A3/m²]:[A4/m²]]),
BP45+IF(BQ$2=Input_Tidshorisont,SUM(Materialedata[[#This Row],[C3/m²]:[C4/m²]]),IF(MOD(BQ$2,Materialedata[[#This Row],[Levetid]])=0,SUM(Materialedata[[#This Row],[A1-A3/m²]:[C4/m²]]),0))
))</f>
        <v>1.9445800000000002</v>
      </c>
      <c r="BR45" s="141">
        <f>IF(BR$2&gt;Input_Tidshorisont,BlankTegn,IF(BR$2=0,SUM(Materialedata[[#This Row],[A1-A3/m²]:[A4/m²]]),
BQ45+IF(BR$2=Input_Tidshorisont,SUM(Materialedata[[#This Row],[C3/m²]:[C4/m²]]),IF(MOD(BR$2,Materialedata[[#This Row],[Levetid]])=0,SUM(Materialedata[[#This Row],[A1-A3/m²]:[C4/m²]]),0))
))</f>
        <v>1.9445800000000002</v>
      </c>
      <c r="BS45" s="141">
        <f>IF(BS$2&gt;Input_Tidshorisont,BlankTegn,IF(BS$2=0,SUM(Materialedata[[#This Row],[A1-A3/m²]:[A4/m²]]),
BR45+IF(BS$2=Input_Tidshorisont,SUM(Materialedata[[#This Row],[C3/m²]:[C4/m²]]),IF(MOD(BS$2,Materialedata[[#This Row],[Levetid]])=0,SUM(Materialedata[[#This Row],[A1-A3/m²]:[C4/m²]]),0))
))</f>
        <v>1.9445800000000002</v>
      </c>
      <c r="BT45" s="141">
        <f>IF(BT$2&gt;Input_Tidshorisont,BlankTegn,IF(BT$2=0,SUM(Materialedata[[#This Row],[A1-A3/m²]:[A4/m²]]),
BS45+IF(BT$2=Input_Tidshorisont,SUM(Materialedata[[#This Row],[C3/m²]:[C4/m²]]),IF(MOD(BT$2,Materialedata[[#This Row],[Levetid]])=0,SUM(Materialedata[[#This Row],[A1-A3/m²]:[C4/m²]]),0))
))</f>
        <v>1.9445800000000002</v>
      </c>
      <c r="BU45" s="141">
        <f>IF(BU$2&gt;Input_Tidshorisont,BlankTegn,IF(BU$2=0,SUM(Materialedata[[#This Row],[A1-A3/m²]:[A4/m²]]),
BT45+IF(BU$2=Input_Tidshorisont,SUM(Materialedata[[#This Row],[C3/m²]:[C4/m²]]),IF(MOD(BU$2,Materialedata[[#This Row],[Levetid]])=0,SUM(Materialedata[[#This Row],[A1-A3/m²]:[C4/m²]]),0))
))</f>
        <v>1.9445800000000002</v>
      </c>
      <c r="BV45" s="141">
        <f>IF(BV$2&gt;Input_Tidshorisont,BlankTegn,IF(BV$2=0,SUM(Materialedata[[#This Row],[A1-A3/m²]:[A4/m²]]),
BU45+IF(BV$2=Input_Tidshorisont,SUM(Materialedata[[#This Row],[C3/m²]:[C4/m²]]),IF(MOD(BV$2,Materialedata[[#This Row],[Levetid]])=0,SUM(Materialedata[[#This Row],[A1-A3/m²]:[C4/m²]]),0))
))</f>
        <v>1.9445800000000002</v>
      </c>
      <c r="BW45" s="141">
        <f>IF(BW$2&gt;Input_Tidshorisont,BlankTegn,IF(BW$2=0,SUM(Materialedata[[#This Row],[A1-A3/m²]:[A4/m²]]),
BV45+IF(BW$2=Input_Tidshorisont,SUM(Materialedata[[#This Row],[C3/m²]:[C4/m²]]),IF(MOD(BW$2,Materialedata[[#This Row],[Levetid]])=0,SUM(Materialedata[[#This Row],[A1-A3/m²]:[C4/m²]]),0))
))</f>
        <v>1.9445800000000002</v>
      </c>
      <c r="BX45" s="141">
        <f>IF(BX$2&gt;Input_Tidshorisont,BlankTegn,IF(BX$2=0,SUM(Materialedata[[#This Row],[A1-A3/m²]:[A4/m²]]),
BW45+IF(BX$2=Input_Tidshorisont,SUM(Materialedata[[#This Row],[C3/m²]:[C4/m²]]),IF(MOD(BX$2,Materialedata[[#This Row],[Levetid]])=0,SUM(Materialedata[[#This Row],[A1-A3/m²]:[C4/m²]]),0))
))</f>
        <v>1.9445800000000002</v>
      </c>
      <c r="BY45" s="141">
        <f>IF(BY$2&gt;Input_Tidshorisont,BlankTegn,IF(BY$2=0,SUM(Materialedata[[#This Row],[A1-A3/m²]:[A4/m²]]),
BX45+IF(BY$2=Input_Tidshorisont,SUM(Materialedata[[#This Row],[C3/m²]:[C4/m²]]),IF(MOD(BY$2,Materialedata[[#This Row],[Levetid]])=0,SUM(Materialedata[[#This Row],[A1-A3/m²]:[C4/m²]]),0))
))</f>
        <v>1.9445800000000002</v>
      </c>
      <c r="BZ45" s="141">
        <f>IF(BZ$2&gt;Input_Tidshorisont,BlankTegn,IF(BZ$2=0,SUM(Materialedata[[#This Row],[A1-A3/m²]:[A4/m²]]),
BY45+IF(BZ$2=Input_Tidshorisont,SUM(Materialedata[[#This Row],[C3/m²]:[C4/m²]]),IF(MOD(BZ$2,Materialedata[[#This Row],[Levetid]])=0,SUM(Materialedata[[#This Row],[A1-A3/m²]:[C4/m²]]),0))
))</f>
        <v>1.9445800000000002</v>
      </c>
      <c r="CA45" s="141">
        <f>IF(CA$2&gt;Input_Tidshorisont,BlankTegn,IF(CA$2=0,SUM(Materialedata[[#This Row],[A1-A3/m²]:[A4/m²]]),
BZ45+IF(CA$2=Input_Tidshorisont,SUM(Materialedata[[#This Row],[C3/m²]:[C4/m²]]),IF(MOD(CA$2,Materialedata[[#This Row],[Levetid]])=0,SUM(Materialedata[[#This Row],[A1-A3/m²]:[C4/m²]]),0))
))</f>
        <v>1.9445800000000002</v>
      </c>
      <c r="CB45" s="141">
        <f>IF(CB$2&gt;Input_Tidshorisont,BlankTegn,IF(CB$2=0,SUM(Materialedata[[#This Row],[A1-A3/m²]:[A4/m²]]),
CA45+IF(CB$2=Input_Tidshorisont,SUM(Materialedata[[#This Row],[C3/m²]:[C4/m²]]),IF(MOD(CB$2,Materialedata[[#This Row],[Levetid]])=0,SUM(Materialedata[[#This Row],[A1-A3/m²]:[C4/m²]]),0))
))</f>
        <v>1.9445800000000002</v>
      </c>
      <c r="CC45" s="141">
        <f>IF(CC$2&gt;Input_Tidshorisont,BlankTegn,IF(CC$2=0,SUM(Materialedata[[#This Row],[A1-A3/m²]:[A4/m²]]),
CB45+IF(CC$2=Input_Tidshorisont,SUM(Materialedata[[#This Row],[C3/m²]:[C4/m²]]),IF(MOD(CC$2,Materialedata[[#This Row],[Levetid]])=0,SUM(Materialedata[[#This Row],[A1-A3/m²]:[C4/m²]]),0))
))</f>
        <v>1.9445800000000002</v>
      </c>
      <c r="CD45" s="141">
        <f>IF(CD$2&gt;Input_Tidshorisont,BlankTegn,IF(CD$2=0,SUM(Materialedata[[#This Row],[A1-A3/m²]:[A4/m²]]),
CC45+IF(CD$2=Input_Tidshorisont,SUM(Materialedata[[#This Row],[C3/m²]:[C4/m²]]),IF(MOD(CD$2,Materialedata[[#This Row],[Levetid]])=0,SUM(Materialedata[[#This Row],[A1-A3/m²]:[C4/m²]]),0))
))</f>
        <v>1.9445800000000002</v>
      </c>
      <c r="CE45" s="141">
        <f>IF(CE$2&gt;Input_Tidshorisont,BlankTegn,IF(CE$2=0,SUM(Materialedata[[#This Row],[A1-A3/m²]:[A4/m²]]),
CD45+IF(CE$2=Input_Tidshorisont,SUM(Materialedata[[#This Row],[C3/m²]:[C4/m²]]),IF(MOD(CE$2,Materialedata[[#This Row],[Levetid]])=0,SUM(Materialedata[[#This Row],[A1-A3/m²]:[C4/m²]]),0))
))</f>
        <v>1.9445800000000002</v>
      </c>
      <c r="CF45" s="141">
        <f>IF(CF$2&gt;Input_Tidshorisont,BlankTegn,IF(CF$2=0,SUM(Materialedata[[#This Row],[A1-A3/m²]:[A4/m²]]),
CE45+IF(CF$2=Input_Tidshorisont,SUM(Materialedata[[#This Row],[C3/m²]:[C4/m²]]),IF(MOD(CF$2,Materialedata[[#This Row],[Levetid]])=0,SUM(Materialedata[[#This Row],[A1-A3/m²]:[C4/m²]]),0))
))</f>
        <v>1.9445800000000002</v>
      </c>
      <c r="CG45" s="141">
        <f>IF(CG$2&gt;Input_Tidshorisont,BlankTegn,IF(CG$2=0,SUM(Materialedata[[#This Row],[A1-A3/m²]:[A4/m²]]),
CF45+IF(CG$2=Input_Tidshorisont,SUM(Materialedata[[#This Row],[C3/m²]:[C4/m²]]),IF(MOD(CG$2,Materialedata[[#This Row],[Levetid]])=0,SUM(Materialedata[[#This Row],[A1-A3/m²]:[C4/m²]]),0))
))</f>
        <v>1.9445800000000002</v>
      </c>
      <c r="CH45" s="141">
        <f>IF(CH$2&gt;Input_Tidshorisont,BlankTegn,IF(CH$2=0,SUM(Materialedata[[#This Row],[A1-A3/m²]:[A4/m²]]),
CG45+IF(CH$2=Input_Tidshorisont,SUM(Materialedata[[#This Row],[C3/m²]:[C4/m²]]),IF(MOD(CH$2,Materialedata[[#This Row],[Levetid]])=0,SUM(Materialedata[[#This Row],[A1-A3/m²]:[C4/m²]]),0))
))</f>
        <v>2.5424800000000003</v>
      </c>
      <c r="CI45" s="141" t="str">
        <f>IF(CI$2&gt;Input_Tidshorisont,BlankTegn,IF(CI$2=0,SUM(Materialedata[[#This Row],[A1-A3/m²]:[A4/m²]]),
CH45+IF(CI$2=Input_Tidshorisont,SUM(Materialedata[[#This Row],[C3/m²]:[C4/m²]]),IF(MOD(CI$2,Materialedata[[#This Row],[Levetid]])=0,SUM(Materialedata[[#This Row],[A1-A3/m²]:[C4/m²]]),0))
))</f>
        <v>.</v>
      </c>
      <c r="CJ45" s="141" t="str">
        <f>IF(CJ$2&gt;Input_Tidshorisont,BlankTegn,IF(CJ$2=0,SUM(Materialedata[[#This Row],[A1-A3/m²]:[A4/m²]]),
CI45+IF(CJ$2=Input_Tidshorisont,SUM(Materialedata[[#This Row],[C3/m²]:[C4/m²]]),IF(MOD(CJ$2,Materialedata[[#This Row],[Levetid]])=0,SUM(Materialedata[[#This Row],[A1-A3/m²]:[C4/m²]]),0))
))</f>
        <v>.</v>
      </c>
      <c r="CK45" s="141" t="str">
        <f>IF(CK$2&gt;Input_Tidshorisont,BlankTegn,IF(CK$2=0,SUM(Materialedata[[#This Row],[A1-A3/m²]:[A4/m²]]),
CJ45+IF(CK$2=Input_Tidshorisont,SUM(Materialedata[[#This Row],[C3/m²]:[C4/m²]]),IF(MOD(CK$2,Materialedata[[#This Row],[Levetid]])=0,SUM(Materialedata[[#This Row],[A1-A3/m²]:[C4/m²]]),0))
))</f>
        <v>.</v>
      </c>
      <c r="CL45" s="141" t="str">
        <f>IF(CL$2&gt;Input_Tidshorisont,BlankTegn,IF(CL$2=0,SUM(Materialedata[[#This Row],[A1-A3/m²]:[A4/m²]]),
CK45+IF(CL$2=Input_Tidshorisont,SUM(Materialedata[[#This Row],[C3/m²]:[C4/m²]]),IF(MOD(CL$2,Materialedata[[#This Row],[Levetid]])=0,SUM(Materialedata[[#This Row],[A1-A3/m²]:[C4/m²]]),0))
))</f>
        <v>.</v>
      </c>
      <c r="CM45" s="141" t="str">
        <f>IF(CM$2&gt;Input_Tidshorisont,BlankTegn,IF(CM$2=0,SUM(Materialedata[[#This Row],[A1-A3/m²]:[A4/m²]]),
CL45+IF(CM$2=Input_Tidshorisont,SUM(Materialedata[[#This Row],[C3/m²]:[C4/m²]]),IF(MOD(CM$2,Materialedata[[#This Row],[Levetid]])=0,SUM(Materialedata[[#This Row],[A1-A3/m²]:[C4/m²]]),0))
))</f>
        <v>.</v>
      </c>
      <c r="CN45" s="141" t="str">
        <f>IF(CN$2&gt;Input_Tidshorisont,BlankTegn,IF(CN$2=0,SUM(Materialedata[[#This Row],[A1-A3/m²]:[A4/m²]]),
CM45+IF(CN$2=Input_Tidshorisont,SUM(Materialedata[[#This Row],[C3/m²]:[C4/m²]]),IF(MOD(CN$2,Materialedata[[#This Row],[Levetid]])=0,SUM(Materialedata[[#This Row],[A1-A3/m²]:[C4/m²]]),0))
))</f>
        <v>.</v>
      </c>
      <c r="CO45" s="141" t="str">
        <f>IF(CO$2&gt;Input_Tidshorisont,BlankTegn,IF(CO$2=0,SUM(Materialedata[[#This Row],[A1-A3/m²]:[A4/m²]]),
CN45+IF(CO$2=Input_Tidshorisont,SUM(Materialedata[[#This Row],[C3/m²]:[C4/m²]]),IF(MOD(CO$2,Materialedata[[#This Row],[Levetid]])=0,SUM(Materialedata[[#This Row],[A1-A3/m²]:[C4/m²]]),0))
))</f>
        <v>.</v>
      </c>
      <c r="CP45" s="141" t="str">
        <f>IF(CP$2&gt;Input_Tidshorisont,BlankTegn,IF(CP$2=0,SUM(Materialedata[[#This Row],[A1-A3/m²]:[A4/m²]]),
CO45+IF(CP$2=Input_Tidshorisont,SUM(Materialedata[[#This Row],[C3/m²]:[C4/m²]]),IF(MOD(CP$2,Materialedata[[#This Row],[Levetid]])=0,SUM(Materialedata[[#This Row],[A1-A3/m²]:[C4/m²]]),0))
))</f>
        <v>.</v>
      </c>
      <c r="CQ45" s="141" t="str">
        <f>IF(CQ$2&gt;Input_Tidshorisont,BlankTegn,IF(CQ$2=0,SUM(Materialedata[[#This Row],[A1-A3/m²]:[A4/m²]]),
CP45+IF(CQ$2=Input_Tidshorisont,SUM(Materialedata[[#This Row],[C3/m²]:[C4/m²]]),IF(MOD(CQ$2,Materialedata[[#This Row],[Levetid]])=0,SUM(Materialedata[[#This Row],[A1-A3/m²]:[C4/m²]]),0))
))</f>
        <v>.</v>
      </c>
      <c r="CR45" s="141" t="str">
        <f>IF(CR$2&gt;Input_Tidshorisont,BlankTegn,IF(CR$2=0,SUM(Materialedata[[#This Row],[A1-A3/m²]:[A4/m²]]),
CQ45+IF(CR$2=Input_Tidshorisont,SUM(Materialedata[[#This Row],[C3/m²]:[C4/m²]]),IF(MOD(CR$2,Materialedata[[#This Row],[Levetid]])=0,SUM(Materialedata[[#This Row],[A1-A3/m²]:[C4/m²]]),0))
))</f>
        <v>.</v>
      </c>
      <c r="CS45" s="141" t="str">
        <f>IF(CS$2&gt;Input_Tidshorisont,BlankTegn,IF(CS$2=0,SUM(Materialedata[[#This Row],[A1-A3/m²]:[A4/m²]]),
CR45+IF(CS$2=Input_Tidshorisont,SUM(Materialedata[[#This Row],[C3/m²]:[C4/m²]]),IF(MOD(CS$2,Materialedata[[#This Row],[Levetid]])=0,SUM(Materialedata[[#This Row],[A1-A3/m²]:[C4/m²]]),0))
))</f>
        <v>.</v>
      </c>
      <c r="CT45" s="141" t="str">
        <f>IF(CT$2&gt;Input_Tidshorisont,BlankTegn,IF(CT$2=0,SUM(Materialedata[[#This Row],[A1-A3/m²]:[A4/m²]]),
CS45+IF(CT$2=Input_Tidshorisont,SUM(Materialedata[[#This Row],[C3/m²]:[C4/m²]]),IF(MOD(CT$2,Materialedata[[#This Row],[Levetid]])=0,SUM(Materialedata[[#This Row],[A1-A3/m²]:[C4/m²]]),0))
))</f>
        <v>.</v>
      </c>
      <c r="CU45" s="141" t="str">
        <f>IF(CU$2&gt;Input_Tidshorisont,BlankTegn,IF(CU$2=0,SUM(Materialedata[[#This Row],[A1-A3/m²]:[A4/m²]]),
CT45+IF(CU$2=Input_Tidshorisont,SUM(Materialedata[[#This Row],[C3/m²]:[C4/m²]]),IF(MOD(CU$2,Materialedata[[#This Row],[Levetid]])=0,SUM(Materialedata[[#This Row],[A1-A3/m²]:[C4/m²]]),0))
))</f>
        <v>.</v>
      </c>
      <c r="CV45" s="141" t="str">
        <f>IF(CV$2&gt;Input_Tidshorisont,BlankTegn,IF(CV$2=0,SUM(Materialedata[[#This Row],[A1-A3/m²]:[A4/m²]]),
CU45+IF(CV$2=Input_Tidshorisont,SUM(Materialedata[[#This Row],[C3/m²]:[C4/m²]]),IF(MOD(CV$2,Materialedata[[#This Row],[Levetid]])=0,SUM(Materialedata[[#This Row],[A1-A3/m²]:[C4/m²]]),0))
))</f>
        <v>.</v>
      </c>
      <c r="CW45" s="141" t="str">
        <f>IF(CW$2&gt;Input_Tidshorisont,BlankTegn,IF(CW$2=0,SUM(Materialedata[[#This Row],[A1-A3/m²]:[A4/m²]]),
CV45+IF(CW$2=Input_Tidshorisont,SUM(Materialedata[[#This Row],[C3/m²]:[C4/m²]]),IF(MOD(CW$2,Materialedata[[#This Row],[Levetid]])=0,SUM(Materialedata[[#This Row],[A1-A3/m²]:[C4/m²]]),0))
))</f>
        <v>.</v>
      </c>
      <c r="CX45" s="141" t="str">
        <f>IF(CX$2&gt;Input_Tidshorisont,BlankTegn,IF(CX$2=0,SUM(Materialedata[[#This Row],[A1-A3/m²]:[A4/m²]]),
CW45+IF(CX$2=Input_Tidshorisont,SUM(Materialedata[[#This Row],[C3/m²]:[C4/m²]]),IF(MOD(CX$2,Materialedata[[#This Row],[Levetid]])=0,SUM(Materialedata[[#This Row],[A1-A3/m²]:[C4/m²]]),0))
))</f>
        <v>.</v>
      </c>
      <c r="CY45" s="141" t="str">
        <f>IF(CY$2&gt;Input_Tidshorisont,BlankTegn,IF(CY$2=0,SUM(Materialedata[[#This Row],[A1-A3/m²]:[A4/m²]]),
CX45+IF(CY$2=Input_Tidshorisont,SUM(Materialedata[[#This Row],[C3/m²]:[C4/m²]]),IF(MOD(CY$2,Materialedata[[#This Row],[Levetid]])=0,SUM(Materialedata[[#This Row],[A1-A3/m²]:[C4/m²]]),0))
))</f>
        <v>.</v>
      </c>
      <c r="CZ45" s="141" t="str">
        <f>IF(CZ$2&gt;Input_Tidshorisont,BlankTegn,IF(CZ$2=0,SUM(Materialedata[[#This Row],[A1-A3/m²]:[A4/m²]]),
CY45+IF(CZ$2=Input_Tidshorisont,SUM(Materialedata[[#This Row],[C3/m²]:[C4/m²]]),IF(MOD(CZ$2,Materialedata[[#This Row],[Levetid]])=0,SUM(Materialedata[[#This Row],[A1-A3/m²]:[C4/m²]]),0))
))</f>
        <v>.</v>
      </c>
      <c r="DA45" s="141" t="str">
        <f>IF(DA$2&gt;Input_Tidshorisont,BlankTegn,IF(DA$2=0,SUM(Materialedata[[#This Row],[A1-A3/m²]:[A4/m²]]),
CZ45+IF(DA$2=Input_Tidshorisont,SUM(Materialedata[[#This Row],[C3/m²]:[C4/m²]]),IF(MOD(DA$2,Materialedata[[#This Row],[Levetid]])=0,SUM(Materialedata[[#This Row],[A1-A3/m²]:[C4/m²]]),0))
))</f>
        <v>.</v>
      </c>
      <c r="DB45" s="141" t="str">
        <f>IF(DB$2&gt;Input_Tidshorisont,BlankTegn,IF(DB$2=0,SUM(Materialedata[[#This Row],[A1-A3/m²]:[A4/m²]]),
DA45+IF(DB$2=Input_Tidshorisont,SUM(Materialedata[[#This Row],[C3/m²]:[C4/m²]]),IF(MOD(DB$2,Materialedata[[#This Row],[Levetid]])=0,SUM(Materialedata[[#This Row],[A1-A3/m²]:[C4/m²]]),0))
))</f>
        <v>.</v>
      </c>
      <c r="DC45" s="141" t="str">
        <f>IF(DC$2&gt;Input_Tidshorisont,BlankTegn,IF(DC$2=0,SUM(Materialedata[[#This Row],[A1-A3/m²]:[A4/m²]]),
DB45+IF(DC$2=Input_Tidshorisont,SUM(Materialedata[[#This Row],[C3/m²]:[C4/m²]]),IF(MOD(DC$2,Materialedata[[#This Row],[Levetid]])=0,SUM(Materialedata[[#This Row],[A1-A3/m²]:[C4/m²]]),0))
))</f>
        <v>.</v>
      </c>
      <c r="DD45" s="141" t="str">
        <f>IF(DD$2&gt;Input_Tidshorisont,BlankTegn,IF(DD$2=0,SUM(Materialedata[[#This Row],[A1-A3/m²]:[A4/m²]]),
DC45+IF(DD$2=Input_Tidshorisont,SUM(Materialedata[[#This Row],[C3/m²]:[C4/m²]]),IF(MOD(DD$2,Materialedata[[#This Row],[Levetid]])=0,SUM(Materialedata[[#This Row],[A1-A3/m²]:[C4/m²]]),0))
))</f>
        <v>.</v>
      </c>
      <c r="DE45" s="141" t="str">
        <f>IF(DE$2&gt;Input_Tidshorisont,BlankTegn,IF(DE$2=0,SUM(Materialedata[[#This Row],[A1-A3/m²]:[A4/m²]]),
DD45+IF(DE$2=Input_Tidshorisont,SUM(Materialedata[[#This Row],[C3/m²]:[C4/m²]]),IF(MOD(DE$2,Materialedata[[#This Row],[Levetid]])=0,SUM(Materialedata[[#This Row],[A1-A3/m²]:[C4/m²]]),0))
))</f>
        <v>.</v>
      </c>
      <c r="DF45" s="141" t="str">
        <f>IF(DF$2&gt;Input_Tidshorisont,BlankTegn,IF(DF$2=0,SUM(Materialedata[[#This Row],[A1-A3/m²]:[A4/m²]]),
DE45+IF(DF$2=Input_Tidshorisont,SUM(Materialedata[[#This Row],[C3/m²]:[C4/m²]]),IF(MOD(DF$2,Materialedata[[#This Row],[Levetid]])=0,SUM(Materialedata[[#This Row],[A1-A3/m²]:[C4/m²]]),0))
))</f>
        <v>.</v>
      </c>
      <c r="DG45" s="141" t="str">
        <f>IF(DG$2&gt;Input_Tidshorisont,BlankTegn,IF(DG$2=0,SUM(Materialedata[[#This Row],[A1-A3/m²]:[A4/m²]]),
DF45+IF(DG$2=Input_Tidshorisont,SUM(Materialedata[[#This Row],[C3/m²]:[C4/m²]]),IF(MOD(DG$2,Materialedata[[#This Row],[Levetid]])=0,SUM(Materialedata[[#This Row],[A1-A3/m²]:[C4/m²]]),0))
))</f>
        <v>.</v>
      </c>
      <c r="DH45" s="141" t="str">
        <f>IF(DH$2&gt;Input_Tidshorisont,BlankTegn,IF(DH$2=0,SUM(Materialedata[[#This Row],[A1-A3/m²]:[A4/m²]]),
DG45+IF(DH$2=Input_Tidshorisont,SUM(Materialedata[[#This Row],[C3/m²]:[C4/m²]]),IF(MOD(DH$2,Materialedata[[#This Row],[Levetid]])=0,SUM(Materialedata[[#This Row],[A1-A3/m²]:[C4/m²]]),0))
))</f>
        <v>.</v>
      </c>
      <c r="DI45" s="141" t="str">
        <f>IF(DI$2&gt;Input_Tidshorisont,BlankTegn,IF(DI$2=0,SUM(Materialedata[[#This Row],[A1-A3/m²]:[A4/m²]]),
DH45+IF(DI$2=Input_Tidshorisont,SUM(Materialedata[[#This Row],[C3/m²]:[C4/m²]]),IF(MOD(DI$2,Materialedata[[#This Row],[Levetid]])=0,SUM(Materialedata[[#This Row],[A1-A3/m²]:[C4/m²]]),0))
))</f>
        <v>.</v>
      </c>
      <c r="DJ45" s="141" t="str">
        <f>IF(DJ$2&gt;Input_Tidshorisont,BlankTegn,IF(DJ$2=0,SUM(Materialedata[[#This Row],[A1-A3/m²]:[A4/m²]]),
DI45+IF(DJ$2=Input_Tidshorisont,SUM(Materialedata[[#This Row],[C3/m²]:[C4/m²]]),IF(MOD(DJ$2,Materialedata[[#This Row],[Levetid]])=0,SUM(Materialedata[[#This Row],[A1-A3/m²]:[C4/m²]]),0))
))</f>
        <v>.</v>
      </c>
      <c r="DK45" s="141" t="str">
        <f>IF(DK$2&gt;Input_Tidshorisont,BlankTegn,IF(DK$2=0,SUM(Materialedata[[#This Row],[A1-A3/m²]:[A4/m²]]),
DJ45+IF(DK$2=Input_Tidshorisont,SUM(Materialedata[[#This Row],[C3/m²]:[C4/m²]]),IF(MOD(DK$2,Materialedata[[#This Row],[Levetid]])=0,SUM(Materialedata[[#This Row],[A1-A3/m²]:[C4/m²]]),0))
))</f>
        <v>.</v>
      </c>
      <c r="DL45" s="141" t="str">
        <f>IF(DL$2&gt;Input_Tidshorisont,BlankTegn,IF(DL$2=0,SUM(Materialedata[[#This Row],[A1-A3/m²]:[A4/m²]]),
DK45+IF(DL$2=Input_Tidshorisont,SUM(Materialedata[[#This Row],[C3/m²]:[C4/m²]]),IF(MOD(DL$2,Materialedata[[#This Row],[Levetid]])=0,SUM(Materialedata[[#This Row],[A1-A3/m²]:[C4/m²]]),0))
))</f>
        <v>.</v>
      </c>
      <c r="DM45" s="19"/>
    </row>
    <row r="46" spans="1:117" ht="24">
      <c r="A46" s="182" t="s">
        <v>36</v>
      </c>
      <c r="B46" s="182" t="s">
        <v>188</v>
      </c>
      <c r="C46" s="148" t="s">
        <v>131</v>
      </c>
      <c r="D46" s="149" t="s">
        <v>274</v>
      </c>
      <c r="E46" s="180" t="s">
        <v>288</v>
      </c>
      <c r="F46" s="182" t="s">
        <v>29</v>
      </c>
      <c r="G46" s="182">
        <v>60</v>
      </c>
      <c r="H46" s="183">
        <v>700</v>
      </c>
      <c r="I46" s="184">
        <v>8.9999999999999993E-3</v>
      </c>
      <c r="J46" s="184" t="s">
        <v>232</v>
      </c>
      <c r="K46" s="182">
        <v>2.74</v>
      </c>
      <c r="L46" s="182" t="s">
        <v>211</v>
      </c>
      <c r="M46" s="185">
        <f>IF(ISBLANK(Materialedata[[#This Row],[A4-gruppe]]),BlankTegn,INDEX(Byggeproces[GWP],MATCH(Materialedata[[#This Row],[A4-gruppe]],Byggeproces[Gruppe/Undergruppe],0)))</f>
        <v>1.66E-2</v>
      </c>
      <c r="N46" s="182">
        <v>7.3599999999999999E-2</v>
      </c>
      <c r="O46" s="182">
        <v>0.98699999999999999</v>
      </c>
      <c r="P46" s="182">
        <v>-0.192</v>
      </c>
      <c r="Q46" s="277">
        <f>Materialedata[[#This Row],[A1-A3/standardenhed]]</f>
        <v>2.74</v>
      </c>
      <c r="R46" s="278" cm="1">
        <f t="array" ref="R46">IFERROR(_xlfn.IFS(Materialedata[[#This Row],[Mængde-enhed]]="kg/m²",Materialedata[[#This Row],[A4/kg]]*Materialedata[[#This Row],[Mængde/m²]],Materialedata[[#This Row],[Mængde-enhed]]="m³/m²",Materialedata[[#This Row],[A4/kg]]*Materialedata[[#This Row],[Mængde/m²]]*Materialedata[[#This Row],[Densitet]]),"N/A")</f>
        <v>0.10458000000000001</v>
      </c>
      <c r="S46" s="277">
        <f>Materialedata[[#This Row],[C3/enhed]]</f>
        <v>7.3599999999999999E-2</v>
      </c>
      <c r="T46" s="277">
        <f>Materialedata[[#This Row],[C4/enhed]]</f>
        <v>0.98699999999999999</v>
      </c>
      <c r="U46" s="277">
        <f>Materialedata[[#This Row],[D/enhed]]</f>
        <v>-0.192</v>
      </c>
      <c r="V46" s="150">
        <f>IFERROR(INDEX(Range_Materiale_Genbrug,MATCH(Materialedata[[#This Row],[Komponent]],Facadekomponenter,0)),BlankTegn)</f>
        <v>0</v>
      </c>
      <c r="W46" s="150">
        <f>IFERROR(1-Materialedata[[#This Row],[Genbrug]],BlankTegn)</f>
        <v>1</v>
      </c>
      <c r="X46" s="186">
        <f>IFERROR(Materialedata[[#This Row],[A1-A3/m²_nyt]]*Materialedata[[#This Row],[Nyt]],BlankTegn)</f>
        <v>2.74</v>
      </c>
      <c r="Y46" s="186">
        <f>Materialedata[[#This Row],[A4/m²_nyt]]</f>
        <v>0.10458000000000001</v>
      </c>
      <c r="Z46" s="186">
        <f>IFERROR(Materialedata[[#This Row],[C3/m²_nyt]]*Materialedata[[#This Row],[Nyt]],BlankTegn)</f>
        <v>7.3599999999999999E-2</v>
      </c>
      <c r="AA46" s="186">
        <f>IFERROR(Materialedata[[#This Row],[C4/m²_nyt]]*Materialedata[[#This Row],[Nyt]],BlankTegn)</f>
        <v>0.98699999999999999</v>
      </c>
      <c r="AB46" s="186">
        <f>IFERROR(Materialedata[[#This Row],[D/m²_nyt]]*Materialedata[[#This Row],[Nyt]],BlankTegn)</f>
        <v>-0.192</v>
      </c>
      <c r="AC46" s="187">
        <v>214.48135232875299</v>
      </c>
      <c r="AD46" s="188" t="s">
        <v>29</v>
      </c>
      <c r="AE46" s="182">
        <v>1</v>
      </c>
      <c r="AF46" s="189">
        <f>Materialedata[[#This Row],[Pris/enhed]]*Materialedata[[#This Row],[Omregning]]</f>
        <v>214.48135232875299</v>
      </c>
      <c r="AG46" s="190">
        <v>0.02</v>
      </c>
      <c r="AH46" s="191">
        <v>1</v>
      </c>
      <c r="AI46" s="162">
        <v>0</v>
      </c>
      <c r="AJ46" s="141">
        <f>IF(AJ$2&gt;Input_Tidshorisont,BlankTegn,IF(AJ$2=0,SUM(Materialedata[[#This Row],[A1-A3/m²]:[A4/m²]]),
AI46+IF(AJ$2=Input_Tidshorisont,SUM(Materialedata[[#This Row],[C3/m²]:[C4/m²]]),IF(MOD(AJ$2,Materialedata[[#This Row],[Levetid]])=0,SUM(Materialedata[[#This Row],[A1-A3/m²]:[C4/m²]]),0))
))</f>
        <v>2.8445800000000001</v>
      </c>
      <c r="AK46" s="141">
        <f>IF(AK$2&gt;Input_Tidshorisont,BlankTegn,IF(AK$2=0,SUM(Materialedata[[#This Row],[A1-A3/m²]:[A4/m²]]),
AJ46+IF(AK$2=Input_Tidshorisont,SUM(Materialedata[[#This Row],[C3/m²]:[C4/m²]]),IF(MOD(AK$2,Materialedata[[#This Row],[Levetid]])=0,SUM(Materialedata[[#This Row],[A1-A3/m²]:[C4/m²]]),0))
))</f>
        <v>2.8445800000000001</v>
      </c>
      <c r="AL46" s="141">
        <f>IF(AL$2&gt;Input_Tidshorisont,BlankTegn,IF(AL$2=0,SUM(Materialedata[[#This Row],[A1-A3/m²]:[A4/m²]]),
AK46+IF(AL$2=Input_Tidshorisont,SUM(Materialedata[[#This Row],[C3/m²]:[C4/m²]]),IF(MOD(AL$2,Materialedata[[#This Row],[Levetid]])=0,SUM(Materialedata[[#This Row],[A1-A3/m²]:[C4/m²]]),0))
))</f>
        <v>2.8445800000000001</v>
      </c>
      <c r="AM46" s="141">
        <f>IF(AM$2&gt;Input_Tidshorisont,BlankTegn,IF(AM$2=0,SUM(Materialedata[[#This Row],[A1-A3/m²]:[A4/m²]]),
AL46+IF(AM$2=Input_Tidshorisont,SUM(Materialedata[[#This Row],[C3/m²]:[C4/m²]]),IF(MOD(AM$2,Materialedata[[#This Row],[Levetid]])=0,SUM(Materialedata[[#This Row],[A1-A3/m²]:[C4/m²]]),0))
))</f>
        <v>2.8445800000000001</v>
      </c>
      <c r="AN46" s="141">
        <f>IF(AN$2&gt;Input_Tidshorisont,BlankTegn,IF(AN$2=0,SUM(Materialedata[[#This Row],[A1-A3/m²]:[A4/m²]]),
AM46+IF(AN$2=Input_Tidshorisont,SUM(Materialedata[[#This Row],[C3/m²]:[C4/m²]]),IF(MOD(AN$2,Materialedata[[#This Row],[Levetid]])=0,SUM(Materialedata[[#This Row],[A1-A3/m²]:[C4/m²]]),0))
))</f>
        <v>2.8445800000000001</v>
      </c>
      <c r="AO46" s="141">
        <f>IF(AO$2&gt;Input_Tidshorisont,BlankTegn,IF(AO$2=0,SUM(Materialedata[[#This Row],[A1-A3/m²]:[A4/m²]]),
AN46+IF(AO$2=Input_Tidshorisont,SUM(Materialedata[[#This Row],[C3/m²]:[C4/m²]]),IF(MOD(AO$2,Materialedata[[#This Row],[Levetid]])=0,SUM(Materialedata[[#This Row],[A1-A3/m²]:[C4/m²]]),0))
))</f>
        <v>2.8445800000000001</v>
      </c>
      <c r="AP46" s="141">
        <f>IF(AP$2&gt;Input_Tidshorisont,BlankTegn,IF(AP$2=0,SUM(Materialedata[[#This Row],[A1-A3/m²]:[A4/m²]]),
AO46+IF(AP$2=Input_Tidshorisont,SUM(Materialedata[[#This Row],[C3/m²]:[C4/m²]]),IF(MOD(AP$2,Materialedata[[#This Row],[Levetid]])=0,SUM(Materialedata[[#This Row],[A1-A3/m²]:[C4/m²]]),0))
))</f>
        <v>2.8445800000000001</v>
      </c>
      <c r="AQ46" s="141">
        <f>IF(AQ$2&gt;Input_Tidshorisont,BlankTegn,IF(AQ$2=0,SUM(Materialedata[[#This Row],[A1-A3/m²]:[A4/m²]]),
AP46+IF(AQ$2=Input_Tidshorisont,SUM(Materialedata[[#This Row],[C3/m²]:[C4/m²]]),IF(MOD(AQ$2,Materialedata[[#This Row],[Levetid]])=0,SUM(Materialedata[[#This Row],[A1-A3/m²]:[C4/m²]]),0))
))</f>
        <v>2.8445800000000001</v>
      </c>
      <c r="AR46" s="141">
        <f>IF(AR$2&gt;Input_Tidshorisont,BlankTegn,IF(AR$2=0,SUM(Materialedata[[#This Row],[A1-A3/m²]:[A4/m²]]),
AQ46+IF(AR$2=Input_Tidshorisont,SUM(Materialedata[[#This Row],[C3/m²]:[C4/m²]]),IF(MOD(AR$2,Materialedata[[#This Row],[Levetid]])=0,SUM(Materialedata[[#This Row],[A1-A3/m²]:[C4/m²]]),0))
))</f>
        <v>2.8445800000000001</v>
      </c>
      <c r="AS46" s="141">
        <f>IF(AS$2&gt;Input_Tidshorisont,BlankTegn,IF(AS$2=0,SUM(Materialedata[[#This Row],[A1-A3/m²]:[A4/m²]]),
AR46+IF(AS$2=Input_Tidshorisont,SUM(Materialedata[[#This Row],[C3/m²]:[C4/m²]]),IF(MOD(AS$2,Materialedata[[#This Row],[Levetid]])=0,SUM(Materialedata[[#This Row],[A1-A3/m²]:[C4/m²]]),0))
))</f>
        <v>2.8445800000000001</v>
      </c>
      <c r="AT46" s="141">
        <f>IF(AT$2&gt;Input_Tidshorisont,BlankTegn,IF(AT$2=0,SUM(Materialedata[[#This Row],[A1-A3/m²]:[A4/m²]]),
AS46+IF(AT$2=Input_Tidshorisont,SUM(Materialedata[[#This Row],[C3/m²]:[C4/m²]]),IF(MOD(AT$2,Materialedata[[#This Row],[Levetid]])=0,SUM(Materialedata[[#This Row],[A1-A3/m²]:[C4/m²]]),0))
))</f>
        <v>2.8445800000000001</v>
      </c>
      <c r="AU46" s="141">
        <f>IF(AU$2&gt;Input_Tidshorisont,BlankTegn,IF(AU$2=0,SUM(Materialedata[[#This Row],[A1-A3/m²]:[A4/m²]]),
AT46+IF(AU$2=Input_Tidshorisont,SUM(Materialedata[[#This Row],[C3/m²]:[C4/m²]]),IF(MOD(AU$2,Materialedata[[#This Row],[Levetid]])=0,SUM(Materialedata[[#This Row],[A1-A3/m²]:[C4/m²]]),0))
))</f>
        <v>2.8445800000000001</v>
      </c>
      <c r="AV46" s="141">
        <f>IF(AV$2&gt;Input_Tidshorisont,BlankTegn,IF(AV$2=0,SUM(Materialedata[[#This Row],[A1-A3/m²]:[A4/m²]]),
AU46+IF(AV$2=Input_Tidshorisont,SUM(Materialedata[[#This Row],[C3/m²]:[C4/m²]]),IF(MOD(AV$2,Materialedata[[#This Row],[Levetid]])=0,SUM(Materialedata[[#This Row],[A1-A3/m²]:[C4/m²]]),0))
))</f>
        <v>2.8445800000000001</v>
      </c>
      <c r="AW46" s="141">
        <f>IF(AW$2&gt;Input_Tidshorisont,BlankTegn,IF(AW$2=0,SUM(Materialedata[[#This Row],[A1-A3/m²]:[A4/m²]]),
AV46+IF(AW$2=Input_Tidshorisont,SUM(Materialedata[[#This Row],[C3/m²]:[C4/m²]]),IF(MOD(AW$2,Materialedata[[#This Row],[Levetid]])=0,SUM(Materialedata[[#This Row],[A1-A3/m²]:[C4/m²]]),0))
))</f>
        <v>2.8445800000000001</v>
      </c>
      <c r="AX46" s="141">
        <f>IF(AX$2&gt;Input_Tidshorisont,BlankTegn,IF(AX$2=0,SUM(Materialedata[[#This Row],[A1-A3/m²]:[A4/m²]]),
AW46+IF(AX$2=Input_Tidshorisont,SUM(Materialedata[[#This Row],[C3/m²]:[C4/m²]]),IF(MOD(AX$2,Materialedata[[#This Row],[Levetid]])=0,SUM(Materialedata[[#This Row],[A1-A3/m²]:[C4/m²]]),0))
))</f>
        <v>2.8445800000000001</v>
      </c>
      <c r="AY46" s="141">
        <f>IF(AY$2&gt;Input_Tidshorisont,BlankTegn,IF(AY$2=0,SUM(Materialedata[[#This Row],[A1-A3/m²]:[A4/m²]]),
AX46+IF(AY$2=Input_Tidshorisont,SUM(Materialedata[[#This Row],[C3/m²]:[C4/m²]]),IF(MOD(AY$2,Materialedata[[#This Row],[Levetid]])=0,SUM(Materialedata[[#This Row],[A1-A3/m²]:[C4/m²]]),0))
))</f>
        <v>2.8445800000000001</v>
      </c>
      <c r="AZ46" s="141">
        <f>IF(AZ$2&gt;Input_Tidshorisont,BlankTegn,IF(AZ$2=0,SUM(Materialedata[[#This Row],[A1-A3/m²]:[A4/m²]]),
AY46+IF(AZ$2=Input_Tidshorisont,SUM(Materialedata[[#This Row],[C3/m²]:[C4/m²]]),IF(MOD(AZ$2,Materialedata[[#This Row],[Levetid]])=0,SUM(Materialedata[[#This Row],[A1-A3/m²]:[C4/m²]]),0))
))</f>
        <v>2.8445800000000001</v>
      </c>
      <c r="BA46" s="141">
        <f>IF(BA$2&gt;Input_Tidshorisont,BlankTegn,IF(BA$2=0,SUM(Materialedata[[#This Row],[A1-A3/m²]:[A4/m²]]),
AZ46+IF(BA$2=Input_Tidshorisont,SUM(Materialedata[[#This Row],[C3/m²]:[C4/m²]]),IF(MOD(BA$2,Materialedata[[#This Row],[Levetid]])=0,SUM(Materialedata[[#This Row],[A1-A3/m²]:[C4/m²]]),0))
))</f>
        <v>2.8445800000000001</v>
      </c>
      <c r="BB46" s="141">
        <f>IF(BB$2&gt;Input_Tidshorisont,BlankTegn,IF(BB$2=0,SUM(Materialedata[[#This Row],[A1-A3/m²]:[A4/m²]]),
BA46+IF(BB$2=Input_Tidshorisont,SUM(Materialedata[[#This Row],[C3/m²]:[C4/m²]]),IF(MOD(BB$2,Materialedata[[#This Row],[Levetid]])=0,SUM(Materialedata[[#This Row],[A1-A3/m²]:[C4/m²]]),0))
))</f>
        <v>2.8445800000000001</v>
      </c>
      <c r="BC46" s="141">
        <f>IF(BC$2&gt;Input_Tidshorisont,BlankTegn,IF(BC$2=0,SUM(Materialedata[[#This Row],[A1-A3/m²]:[A4/m²]]),
BB46+IF(BC$2=Input_Tidshorisont,SUM(Materialedata[[#This Row],[C3/m²]:[C4/m²]]),IF(MOD(BC$2,Materialedata[[#This Row],[Levetid]])=0,SUM(Materialedata[[#This Row],[A1-A3/m²]:[C4/m²]]),0))
))</f>
        <v>2.8445800000000001</v>
      </c>
      <c r="BD46" s="141">
        <f>IF(BD$2&gt;Input_Tidshorisont,BlankTegn,IF(BD$2=0,SUM(Materialedata[[#This Row],[A1-A3/m²]:[A4/m²]]),
BC46+IF(BD$2=Input_Tidshorisont,SUM(Materialedata[[#This Row],[C3/m²]:[C4/m²]]),IF(MOD(BD$2,Materialedata[[#This Row],[Levetid]])=0,SUM(Materialedata[[#This Row],[A1-A3/m²]:[C4/m²]]),0))
))</f>
        <v>2.8445800000000001</v>
      </c>
      <c r="BE46" s="141">
        <f>IF(BE$2&gt;Input_Tidshorisont,BlankTegn,IF(BE$2=0,SUM(Materialedata[[#This Row],[A1-A3/m²]:[A4/m²]]),
BD46+IF(BE$2=Input_Tidshorisont,SUM(Materialedata[[#This Row],[C3/m²]:[C4/m²]]),IF(MOD(BE$2,Materialedata[[#This Row],[Levetid]])=0,SUM(Materialedata[[#This Row],[A1-A3/m²]:[C4/m²]]),0))
))</f>
        <v>2.8445800000000001</v>
      </c>
      <c r="BF46" s="141">
        <f>IF(BF$2&gt;Input_Tidshorisont,BlankTegn,IF(BF$2=0,SUM(Materialedata[[#This Row],[A1-A3/m²]:[A4/m²]]),
BE46+IF(BF$2=Input_Tidshorisont,SUM(Materialedata[[#This Row],[C3/m²]:[C4/m²]]),IF(MOD(BF$2,Materialedata[[#This Row],[Levetid]])=0,SUM(Materialedata[[#This Row],[A1-A3/m²]:[C4/m²]]),0))
))</f>
        <v>2.8445800000000001</v>
      </c>
      <c r="BG46" s="141">
        <f>IF(BG$2&gt;Input_Tidshorisont,BlankTegn,IF(BG$2=0,SUM(Materialedata[[#This Row],[A1-A3/m²]:[A4/m²]]),
BF46+IF(BG$2=Input_Tidshorisont,SUM(Materialedata[[#This Row],[C3/m²]:[C4/m²]]),IF(MOD(BG$2,Materialedata[[#This Row],[Levetid]])=0,SUM(Materialedata[[#This Row],[A1-A3/m²]:[C4/m²]]),0))
))</f>
        <v>2.8445800000000001</v>
      </c>
      <c r="BH46" s="141">
        <f>IF(BH$2&gt;Input_Tidshorisont,BlankTegn,IF(BH$2=0,SUM(Materialedata[[#This Row],[A1-A3/m²]:[A4/m²]]),
BG46+IF(BH$2=Input_Tidshorisont,SUM(Materialedata[[#This Row],[C3/m²]:[C4/m²]]),IF(MOD(BH$2,Materialedata[[#This Row],[Levetid]])=0,SUM(Materialedata[[#This Row],[A1-A3/m²]:[C4/m²]]),0))
))</f>
        <v>2.8445800000000001</v>
      </c>
      <c r="BI46" s="141">
        <f>IF(BI$2&gt;Input_Tidshorisont,BlankTegn,IF(BI$2=0,SUM(Materialedata[[#This Row],[A1-A3/m²]:[A4/m²]]),
BH46+IF(BI$2=Input_Tidshorisont,SUM(Materialedata[[#This Row],[C3/m²]:[C4/m²]]),IF(MOD(BI$2,Materialedata[[#This Row],[Levetid]])=0,SUM(Materialedata[[#This Row],[A1-A3/m²]:[C4/m²]]),0))
))</f>
        <v>2.8445800000000001</v>
      </c>
      <c r="BJ46" s="141">
        <f>IF(BJ$2&gt;Input_Tidshorisont,BlankTegn,IF(BJ$2=0,SUM(Materialedata[[#This Row],[A1-A3/m²]:[A4/m²]]),
BI46+IF(BJ$2=Input_Tidshorisont,SUM(Materialedata[[#This Row],[C3/m²]:[C4/m²]]),IF(MOD(BJ$2,Materialedata[[#This Row],[Levetid]])=0,SUM(Materialedata[[#This Row],[A1-A3/m²]:[C4/m²]]),0))
))</f>
        <v>2.8445800000000001</v>
      </c>
      <c r="BK46" s="141">
        <f>IF(BK$2&gt;Input_Tidshorisont,BlankTegn,IF(BK$2=0,SUM(Materialedata[[#This Row],[A1-A3/m²]:[A4/m²]]),
BJ46+IF(BK$2=Input_Tidshorisont,SUM(Materialedata[[#This Row],[C3/m²]:[C4/m²]]),IF(MOD(BK$2,Materialedata[[#This Row],[Levetid]])=0,SUM(Materialedata[[#This Row],[A1-A3/m²]:[C4/m²]]),0))
))</f>
        <v>2.8445800000000001</v>
      </c>
      <c r="BL46" s="141">
        <f>IF(BL$2&gt;Input_Tidshorisont,BlankTegn,IF(BL$2=0,SUM(Materialedata[[#This Row],[A1-A3/m²]:[A4/m²]]),
BK46+IF(BL$2=Input_Tidshorisont,SUM(Materialedata[[#This Row],[C3/m²]:[C4/m²]]),IF(MOD(BL$2,Materialedata[[#This Row],[Levetid]])=0,SUM(Materialedata[[#This Row],[A1-A3/m²]:[C4/m²]]),0))
))</f>
        <v>2.8445800000000001</v>
      </c>
      <c r="BM46" s="141">
        <f>IF(BM$2&gt;Input_Tidshorisont,BlankTegn,IF(BM$2=0,SUM(Materialedata[[#This Row],[A1-A3/m²]:[A4/m²]]),
BL46+IF(BM$2=Input_Tidshorisont,SUM(Materialedata[[#This Row],[C3/m²]:[C4/m²]]),IF(MOD(BM$2,Materialedata[[#This Row],[Levetid]])=0,SUM(Materialedata[[#This Row],[A1-A3/m²]:[C4/m²]]),0))
))</f>
        <v>2.8445800000000001</v>
      </c>
      <c r="BN46" s="141">
        <f>IF(BN$2&gt;Input_Tidshorisont,BlankTegn,IF(BN$2=0,SUM(Materialedata[[#This Row],[A1-A3/m²]:[A4/m²]]),
BM46+IF(BN$2=Input_Tidshorisont,SUM(Materialedata[[#This Row],[C3/m²]:[C4/m²]]),IF(MOD(BN$2,Materialedata[[#This Row],[Levetid]])=0,SUM(Materialedata[[#This Row],[A1-A3/m²]:[C4/m²]]),0))
))</f>
        <v>2.8445800000000001</v>
      </c>
      <c r="BO46" s="141">
        <f>IF(BO$2&gt;Input_Tidshorisont,BlankTegn,IF(BO$2=0,SUM(Materialedata[[#This Row],[A1-A3/m²]:[A4/m²]]),
BN46+IF(BO$2=Input_Tidshorisont,SUM(Materialedata[[#This Row],[C3/m²]:[C4/m²]]),IF(MOD(BO$2,Materialedata[[#This Row],[Levetid]])=0,SUM(Materialedata[[#This Row],[A1-A3/m²]:[C4/m²]]),0))
))</f>
        <v>2.8445800000000001</v>
      </c>
      <c r="BP46" s="141">
        <f>IF(BP$2&gt;Input_Tidshorisont,BlankTegn,IF(BP$2=0,SUM(Materialedata[[#This Row],[A1-A3/m²]:[A4/m²]]),
BO46+IF(BP$2=Input_Tidshorisont,SUM(Materialedata[[#This Row],[C3/m²]:[C4/m²]]),IF(MOD(BP$2,Materialedata[[#This Row],[Levetid]])=0,SUM(Materialedata[[#This Row],[A1-A3/m²]:[C4/m²]]),0))
))</f>
        <v>2.8445800000000001</v>
      </c>
      <c r="BQ46" s="141">
        <f>IF(BQ$2&gt;Input_Tidshorisont,BlankTegn,IF(BQ$2=0,SUM(Materialedata[[#This Row],[A1-A3/m²]:[A4/m²]]),
BP46+IF(BQ$2=Input_Tidshorisont,SUM(Materialedata[[#This Row],[C3/m²]:[C4/m²]]),IF(MOD(BQ$2,Materialedata[[#This Row],[Levetid]])=0,SUM(Materialedata[[#This Row],[A1-A3/m²]:[C4/m²]]),0))
))</f>
        <v>2.8445800000000001</v>
      </c>
      <c r="BR46" s="141">
        <f>IF(BR$2&gt;Input_Tidshorisont,BlankTegn,IF(BR$2=0,SUM(Materialedata[[#This Row],[A1-A3/m²]:[A4/m²]]),
BQ46+IF(BR$2=Input_Tidshorisont,SUM(Materialedata[[#This Row],[C3/m²]:[C4/m²]]),IF(MOD(BR$2,Materialedata[[#This Row],[Levetid]])=0,SUM(Materialedata[[#This Row],[A1-A3/m²]:[C4/m²]]),0))
))</f>
        <v>2.8445800000000001</v>
      </c>
      <c r="BS46" s="141">
        <f>IF(BS$2&gt;Input_Tidshorisont,BlankTegn,IF(BS$2=0,SUM(Materialedata[[#This Row],[A1-A3/m²]:[A4/m²]]),
BR46+IF(BS$2=Input_Tidshorisont,SUM(Materialedata[[#This Row],[C3/m²]:[C4/m²]]),IF(MOD(BS$2,Materialedata[[#This Row],[Levetid]])=0,SUM(Materialedata[[#This Row],[A1-A3/m²]:[C4/m²]]),0))
))</f>
        <v>2.8445800000000001</v>
      </c>
      <c r="BT46" s="141">
        <f>IF(BT$2&gt;Input_Tidshorisont,BlankTegn,IF(BT$2=0,SUM(Materialedata[[#This Row],[A1-A3/m²]:[A4/m²]]),
BS46+IF(BT$2=Input_Tidshorisont,SUM(Materialedata[[#This Row],[C3/m²]:[C4/m²]]),IF(MOD(BT$2,Materialedata[[#This Row],[Levetid]])=0,SUM(Materialedata[[#This Row],[A1-A3/m²]:[C4/m²]]),0))
))</f>
        <v>2.8445800000000001</v>
      </c>
      <c r="BU46" s="141">
        <f>IF(BU$2&gt;Input_Tidshorisont,BlankTegn,IF(BU$2=0,SUM(Materialedata[[#This Row],[A1-A3/m²]:[A4/m²]]),
BT46+IF(BU$2=Input_Tidshorisont,SUM(Materialedata[[#This Row],[C3/m²]:[C4/m²]]),IF(MOD(BU$2,Materialedata[[#This Row],[Levetid]])=0,SUM(Materialedata[[#This Row],[A1-A3/m²]:[C4/m²]]),0))
))</f>
        <v>2.8445800000000001</v>
      </c>
      <c r="BV46" s="141">
        <f>IF(BV$2&gt;Input_Tidshorisont,BlankTegn,IF(BV$2=0,SUM(Materialedata[[#This Row],[A1-A3/m²]:[A4/m²]]),
BU46+IF(BV$2=Input_Tidshorisont,SUM(Materialedata[[#This Row],[C3/m²]:[C4/m²]]),IF(MOD(BV$2,Materialedata[[#This Row],[Levetid]])=0,SUM(Materialedata[[#This Row],[A1-A3/m²]:[C4/m²]]),0))
))</f>
        <v>2.8445800000000001</v>
      </c>
      <c r="BW46" s="141">
        <f>IF(BW$2&gt;Input_Tidshorisont,BlankTegn,IF(BW$2=0,SUM(Materialedata[[#This Row],[A1-A3/m²]:[A4/m²]]),
BV46+IF(BW$2=Input_Tidshorisont,SUM(Materialedata[[#This Row],[C3/m²]:[C4/m²]]),IF(MOD(BW$2,Materialedata[[#This Row],[Levetid]])=0,SUM(Materialedata[[#This Row],[A1-A3/m²]:[C4/m²]]),0))
))</f>
        <v>2.8445800000000001</v>
      </c>
      <c r="BX46" s="141">
        <f>IF(BX$2&gt;Input_Tidshorisont,BlankTegn,IF(BX$2=0,SUM(Materialedata[[#This Row],[A1-A3/m²]:[A4/m²]]),
BW46+IF(BX$2=Input_Tidshorisont,SUM(Materialedata[[#This Row],[C3/m²]:[C4/m²]]),IF(MOD(BX$2,Materialedata[[#This Row],[Levetid]])=0,SUM(Materialedata[[#This Row],[A1-A3/m²]:[C4/m²]]),0))
))</f>
        <v>2.8445800000000001</v>
      </c>
      <c r="BY46" s="141">
        <f>IF(BY$2&gt;Input_Tidshorisont,BlankTegn,IF(BY$2=0,SUM(Materialedata[[#This Row],[A1-A3/m²]:[A4/m²]]),
BX46+IF(BY$2=Input_Tidshorisont,SUM(Materialedata[[#This Row],[C3/m²]:[C4/m²]]),IF(MOD(BY$2,Materialedata[[#This Row],[Levetid]])=0,SUM(Materialedata[[#This Row],[A1-A3/m²]:[C4/m²]]),0))
))</f>
        <v>2.8445800000000001</v>
      </c>
      <c r="BZ46" s="141">
        <f>IF(BZ$2&gt;Input_Tidshorisont,BlankTegn,IF(BZ$2=0,SUM(Materialedata[[#This Row],[A1-A3/m²]:[A4/m²]]),
BY46+IF(BZ$2=Input_Tidshorisont,SUM(Materialedata[[#This Row],[C3/m²]:[C4/m²]]),IF(MOD(BZ$2,Materialedata[[#This Row],[Levetid]])=0,SUM(Materialedata[[#This Row],[A1-A3/m²]:[C4/m²]]),0))
))</f>
        <v>2.8445800000000001</v>
      </c>
      <c r="CA46" s="141">
        <f>IF(CA$2&gt;Input_Tidshorisont,BlankTegn,IF(CA$2=0,SUM(Materialedata[[#This Row],[A1-A3/m²]:[A4/m²]]),
BZ46+IF(CA$2=Input_Tidshorisont,SUM(Materialedata[[#This Row],[C3/m²]:[C4/m²]]),IF(MOD(CA$2,Materialedata[[#This Row],[Levetid]])=0,SUM(Materialedata[[#This Row],[A1-A3/m²]:[C4/m²]]),0))
))</f>
        <v>2.8445800000000001</v>
      </c>
      <c r="CB46" s="141">
        <f>IF(CB$2&gt;Input_Tidshorisont,BlankTegn,IF(CB$2=0,SUM(Materialedata[[#This Row],[A1-A3/m²]:[A4/m²]]),
CA46+IF(CB$2=Input_Tidshorisont,SUM(Materialedata[[#This Row],[C3/m²]:[C4/m²]]),IF(MOD(CB$2,Materialedata[[#This Row],[Levetid]])=0,SUM(Materialedata[[#This Row],[A1-A3/m²]:[C4/m²]]),0))
))</f>
        <v>2.8445800000000001</v>
      </c>
      <c r="CC46" s="141">
        <f>IF(CC$2&gt;Input_Tidshorisont,BlankTegn,IF(CC$2=0,SUM(Materialedata[[#This Row],[A1-A3/m²]:[A4/m²]]),
CB46+IF(CC$2=Input_Tidshorisont,SUM(Materialedata[[#This Row],[C3/m²]:[C4/m²]]),IF(MOD(CC$2,Materialedata[[#This Row],[Levetid]])=0,SUM(Materialedata[[#This Row],[A1-A3/m²]:[C4/m²]]),0))
))</f>
        <v>2.8445800000000001</v>
      </c>
      <c r="CD46" s="141">
        <f>IF(CD$2&gt;Input_Tidshorisont,BlankTegn,IF(CD$2=0,SUM(Materialedata[[#This Row],[A1-A3/m²]:[A4/m²]]),
CC46+IF(CD$2=Input_Tidshorisont,SUM(Materialedata[[#This Row],[C3/m²]:[C4/m²]]),IF(MOD(CD$2,Materialedata[[#This Row],[Levetid]])=0,SUM(Materialedata[[#This Row],[A1-A3/m²]:[C4/m²]]),0))
))</f>
        <v>2.8445800000000001</v>
      </c>
      <c r="CE46" s="141">
        <f>IF(CE$2&gt;Input_Tidshorisont,BlankTegn,IF(CE$2=0,SUM(Materialedata[[#This Row],[A1-A3/m²]:[A4/m²]]),
CD46+IF(CE$2=Input_Tidshorisont,SUM(Materialedata[[#This Row],[C3/m²]:[C4/m²]]),IF(MOD(CE$2,Materialedata[[#This Row],[Levetid]])=0,SUM(Materialedata[[#This Row],[A1-A3/m²]:[C4/m²]]),0))
))</f>
        <v>2.8445800000000001</v>
      </c>
      <c r="CF46" s="141">
        <f>IF(CF$2&gt;Input_Tidshorisont,BlankTegn,IF(CF$2=0,SUM(Materialedata[[#This Row],[A1-A3/m²]:[A4/m²]]),
CE46+IF(CF$2=Input_Tidshorisont,SUM(Materialedata[[#This Row],[C3/m²]:[C4/m²]]),IF(MOD(CF$2,Materialedata[[#This Row],[Levetid]])=0,SUM(Materialedata[[#This Row],[A1-A3/m²]:[C4/m²]]),0))
))</f>
        <v>2.8445800000000001</v>
      </c>
      <c r="CG46" s="141">
        <f>IF(CG$2&gt;Input_Tidshorisont,BlankTegn,IF(CG$2=0,SUM(Materialedata[[#This Row],[A1-A3/m²]:[A4/m²]]),
CF46+IF(CG$2=Input_Tidshorisont,SUM(Materialedata[[#This Row],[C3/m²]:[C4/m²]]),IF(MOD(CG$2,Materialedata[[#This Row],[Levetid]])=0,SUM(Materialedata[[#This Row],[A1-A3/m²]:[C4/m²]]),0))
))</f>
        <v>2.8445800000000001</v>
      </c>
      <c r="CH46" s="141">
        <f>IF(CH$2&gt;Input_Tidshorisont,BlankTegn,IF(CH$2=0,SUM(Materialedata[[#This Row],[A1-A3/m²]:[A4/m²]]),
CG46+IF(CH$2=Input_Tidshorisont,SUM(Materialedata[[#This Row],[C3/m²]:[C4/m²]]),IF(MOD(CH$2,Materialedata[[#This Row],[Levetid]])=0,SUM(Materialedata[[#This Row],[A1-A3/m²]:[C4/m²]]),0))
))</f>
        <v>3.9051800000000001</v>
      </c>
      <c r="CI46" s="141" t="str">
        <f>IF(CI$2&gt;Input_Tidshorisont,BlankTegn,IF(CI$2=0,SUM(Materialedata[[#This Row],[A1-A3/m²]:[A4/m²]]),
CH46+IF(CI$2=Input_Tidshorisont,SUM(Materialedata[[#This Row],[C3/m²]:[C4/m²]]),IF(MOD(CI$2,Materialedata[[#This Row],[Levetid]])=0,SUM(Materialedata[[#This Row],[A1-A3/m²]:[C4/m²]]),0))
))</f>
        <v>.</v>
      </c>
      <c r="CJ46" s="141" t="str">
        <f>IF(CJ$2&gt;Input_Tidshorisont,BlankTegn,IF(CJ$2=0,SUM(Materialedata[[#This Row],[A1-A3/m²]:[A4/m²]]),
CI46+IF(CJ$2=Input_Tidshorisont,SUM(Materialedata[[#This Row],[C3/m²]:[C4/m²]]),IF(MOD(CJ$2,Materialedata[[#This Row],[Levetid]])=0,SUM(Materialedata[[#This Row],[A1-A3/m²]:[C4/m²]]),0))
))</f>
        <v>.</v>
      </c>
      <c r="CK46" s="141" t="str">
        <f>IF(CK$2&gt;Input_Tidshorisont,BlankTegn,IF(CK$2=0,SUM(Materialedata[[#This Row],[A1-A3/m²]:[A4/m²]]),
CJ46+IF(CK$2=Input_Tidshorisont,SUM(Materialedata[[#This Row],[C3/m²]:[C4/m²]]),IF(MOD(CK$2,Materialedata[[#This Row],[Levetid]])=0,SUM(Materialedata[[#This Row],[A1-A3/m²]:[C4/m²]]),0))
))</f>
        <v>.</v>
      </c>
      <c r="CL46" s="141" t="str">
        <f>IF(CL$2&gt;Input_Tidshorisont,BlankTegn,IF(CL$2=0,SUM(Materialedata[[#This Row],[A1-A3/m²]:[A4/m²]]),
CK46+IF(CL$2=Input_Tidshorisont,SUM(Materialedata[[#This Row],[C3/m²]:[C4/m²]]),IF(MOD(CL$2,Materialedata[[#This Row],[Levetid]])=0,SUM(Materialedata[[#This Row],[A1-A3/m²]:[C4/m²]]),0))
))</f>
        <v>.</v>
      </c>
      <c r="CM46" s="141" t="str">
        <f>IF(CM$2&gt;Input_Tidshorisont,BlankTegn,IF(CM$2=0,SUM(Materialedata[[#This Row],[A1-A3/m²]:[A4/m²]]),
CL46+IF(CM$2=Input_Tidshorisont,SUM(Materialedata[[#This Row],[C3/m²]:[C4/m²]]),IF(MOD(CM$2,Materialedata[[#This Row],[Levetid]])=0,SUM(Materialedata[[#This Row],[A1-A3/m²]:[C4/m²]]),0))
))</f>
        <v>.</v>
      </c>
      <c r="CN46" s="141" t="str">
        <f>IF(CN$2&gt;Input_Tidshorisont,BlankTegn,IF(CN$2=0,SUM(Materialedata[[#This Row],[A1-A3/m²]:[A4/m²]]),
CM46+IF(CN$2=Input_Tidshorisont,SUM(Materialedata[[#This Row],[C3/m²]:[C4/m²]]),IF(MOD(CN$2,Materialedata[[#This Row],[Levetid]])=0,SUM(Materialedata[[#This Row],[A1-A3/m²]:[C4/m²]]),0))
))</f>
        <v>.</v>
      </c>
      <c r="CO46" s="141" t="str">
        <f>IF(CO$2&gt;Input_Tidshorisont,BlankTegn,IF(CO$2=0,SUM(Materialedata[[#This Row],[A1-A3/m²]:[A4/m²]]),
CN46+IF(CO$2=Input_Tidshorisont,SUM(Materialedata[[#This Row],[C3/m²]:[C4/m²]]),IF(MOD(CO$2,Materialedata[[#This Row],[Levetid]])=0,SUM(Materialedata[[#This Row],[A1-A3/m²]:[C4/m²]]),0))
))</f>
        <v>.</v>
      </c>
      <c r="CP46" s="141" t="str">
        <f>IF(CP$2&gt;Input_Tidshorisont,BlankTegn,IF(CP$2=0,SUM(Materialedata[[#This Row],[A1-A3/m²]:[A4/m²]]),
CO46+IF(CP$2=Input_Tidshorisont,SUM(Materialedata[[#This Row],[C3/m²]:[C4/m²]]),IF(MOD(CP$2,Materialedata[[#This Row],[Levetid]])=0,SUM(Materialedata[[#This Row],[A1-A3/m²]:[C4/m²]]),0))
))</f>
        <v>.</v>
      </c>
      <c r="CQ46" s="141" t="str">
        <f>IF(CQ$2&gt;Input_Tidshorisont,BlankTegn,IF(CQ$2=0,SUM(Materialedata[[#This Row],[A1-A3/m²]:[A4/m²]]),
CP46+IF(CQ$2=Input_Tidshorisont,SUM(Materialedata[[#This Row],[C3/m²]:[C4/m²]]),IF(MOD(CQ$2,Materialedata[[#This Row],[Levetid]])=0,SUM(Materialedata[[#This Row],[A1-A3/m²]:[C4/m²]]),0))
))</f>
        <v>.</v>
      </c>
      <c r="CR46" s="141" t="str">
        <f>IF(CR$2&gt;Input_Tidshorisont,BlankTegn,IF(CR$2=0,SUM(Materialedata[[#This Row],[A1-A3/m²]:[A4/m²]]),
CQ46+IF(CR$2=Input_Tidshorisont,SUM(Materialedata[[#This Row],[C3/m²]:[C4/m²]]),IF(MOD(CR$2,Materialedata[[#This Row],[Levetid]])=0,SUM(Materialedata[[#This Row],[A1-A3/m²]:[C4/m²]]),0))
))</f>
        <v>.</v>
      </c>
      <c r="CS46" s="141" t="str">
        <f>IF(CS$2&gt;Input_Tidshorisont,BlankTegn,IF(CS$2=0,SUM(Materialedata[[#This Row],[A1-A3/m²]:[A4/m²]]),
CR46+IF(CS$2=Input_Tidshorisont,SUM(Materialedata[[#This Row],[C3/m²]:[C4/m²]]),IF(MOD(CS$2,Materialedata[[#This Row],[Levetid]])=0,SUM(Materialedata[[#This Row],[A1-A3/m²]:[C4/m²]]),0))
))</f>
        <v>.</v>
      </c>
      <c r="CT46" s="141" t="str">
        <f>IF(CT$2&gt;Input_Tidshorisont,BlankTegn,IF(CT$2=0,SUM(Materialedata[[#This Row],[A1-A3/m²]:[A4/m²]]),
CS46+IF(CT$2=Input_Tidshorisont,SUM(Materialedata[[#This Row],[C3/m²]:[C4/m²]]),IF(MOD(CT$2,Materialedata[[#This Row],[Levetid]])=0,SUM(Materialedata[[#This Row],[A1-A3/m²]:[C4/m²]]),0))
))</f>
        <v>.</v>
      </c>
      <c r="CU46" s="141" t="str">
        <f>IF(CU$2&gt;Input_Tidshorisont,BlankTegn,IF(CU$2=0,SUM(Materialedata[[#This Row],[A1-A3/m²]:[A4/m²]]),
CT46+IF(CU$2=Input_Tidshorisont,SUM(Materialedata[[#This Row],[C3/m²]:[C4/m²]]),IF(MOD(CU$2,Materialedata[[#This Row],[Levetid]])=0,SUM(Materialedata[[#This Row],[A1-A3/m²]:[C4/m²]]),0))
))</f>
        <v>.</v>
      </c>
      <c r="CV46" s="141" t="str">
        <f>IF(CV$2&gt;Input_Tidshorisont,BlankTegn,IF(CV$2=0,SUM(Materialedata[[#This Row],[A1-A3/m²]:[A4/m²]]),
CU46+IF(CV$2=Input_Tidshorisont,SUM(Materialedata[[#This Row],[C3/m²]:[C4/m²]]),IF(MOD(CV$2,Materialedata[[#This Row],[Levetid]])=0,SUM(Materialedata[[#This Row],[A1-A3/m²]:[C4/m²]]),0))
))</f>
        <v>.</v>
      </c>
      <c r="CW46" s="141" t="str">
        <f>IF(CW$2&gt;Input_Tidshorisont,BlankTegn,IF(CW$2=0,SUM(Materialedata[[#This Row],[A1-A3/m²]:[A4/m²]]),
CV46+IF(CW$2=Input_Tidshorisont,SUM(Materialedata[[#This Row],[C3/m²]:[C4/m²]]),IF(MOD(CW$2,Materialedata[[#This Row],[Levetid]])=0,SUM(Materialedata[[#This Row],[A1-A3/m²]:[C4/m²]]),0))
))</f>
        <v>.</v>
      </c>
      <c r="CX46" s="141" t="str">
        <f>IF(CX$2&gt;Input_Tidshorisont,BlankTegn,IF(CX$2=0,SUM(Materialedata[[#This Row],[A1-A3/m²]:[A4/m²]]),
CW46+IF(CX$2=Input_Tidshorisont,SUM(Materialedata[[#This Row],[C3/m²]:[C4/m²]]),IF(MOD(CX$2,Materialedata[[#This Row],[Levetid]])=0,SUM(Materialedata[[#This Row],[A1-A3/m²]:[C4/m²]]),0))
))</f>
        <v>.</v>
      </c>
      <c r="CY46" s="141" t="str">
        <f>IF(CY$2&gt;Input_Tidshorisont,BlankTegn,IF(CY$2=0,SUM(Materialedata[[#This Row],[A1-A3/m²]:[A4/m²]]),
CX46+IF(CY$2=Input_Tidshorisont,SUM(Materialedata[[#This Row],[C3/m²]:[C4/m²]]),IF(MOD(CY$2,Materialedata[[#This Row],[Levetid]])=0,SUM(Materialedata[[#This Row],[A1-A3/m²]:[C4/m²]]),0))
))</f>
        <v>.</v>
      </c>
      <c r="CZ46" s="141" t="str">
        <f>IF(CZ$2&gt;Input_Tidshorisont,BlankTegn,IF(CZ$2=0,SUM(Materialedata[[#This Row],[A1-A3/m²]:[A4/m²]]),
CY46+IF(CZ$2=Input_Tidshorisont,SUM(Materialedata[[#This Row],[C3/m²]:[C4/m²]]),IF(MOD(CZ$2,Materialedata[[#This Row],[Levetid]])=0,SUM(Materialedata[[#This Row],[A1-A3/m²]:[C4/m²]]),0))
))</f>
        <v>.</v>
      </c>
      <c r="DA46" s="141" t="str">
        <f>IF(DA$2&gt;Input_Tidshorisont,BlankTegn,IF(DA$2=0,SUM(Materialedata[[#This Row],[A1-A3/m²]:[A4/m²]]),
CZ46+IF(DA$2=Input_Tidshorisont,SUM(Materialedata[[#This Row],[C3/m²]:[C4/m²]]),IF(MOD(DA$2,Materialedata[[#This Row],[Levetid]])=0,SUM(Materialedata[[#This Row],[A1-A3/m²]:[C4/m²]]),0))
))</f>
        <v>.</v>
      </c>
      <c r="DB46" s="141" t="str">
        <f>IF(DB$2&gt;Input_Tidshorisont,BlankTegn,IF(DB$2=0,SUM(Materialedata[[#This Row],[A1-A3/m²]:[A4/m²]]),
DA46+IF(DB$2=Input_Tidshorisont,SUM(Materialedata[[#This Row],[C3/m²]:[C4/m²]]),IF(MOD(DB$2,Materialedata[[#This Row],[Levetid]])=0,SUM(Materialedata[[#This Row],[A1-A3/m²]:[C4/m²]]),0))
))</f>
        <v>.</v>
      </c>
      <c r="DC46" s="141" t="str">
        <f>IF(DC$2&gt;Input_Tidshorisont,BlankTegn,IF(DC$2=0,SUM(Materialedata[[#This Row],[A1-A3/m²]:[A4/m²]]),
DB46+IF(DC$2=Input_Tidshorisont,SUM(Materialedata[[#This Row],[C3/m²]:[C4/m²]]),IF(MOD(DC$2,Materialedata[[#This Row],[Levetid]])=0,SUM(Materialedata[[#This Row],[A1-A3/m²]:[C4/m²]]),0))
))</f>
        <v>.</v>
      </c>
      <c r="DD46" s="141" t="str">
        <f>IF(DD$2&gt;Input_Tidshorisont,BlankTegn,IF(DD$2=0,SUM(Materialedata[[#This Row],[A1-A3/m²]:[A4/m²]]),
DC46+IF(DD$2=Input_Tidshorisont,SUM(Materialedata[[#This Row],[C3/m²]:[C4/m²]]),IF(MOD(DD$2,Materialedata[[#This Row],[Levetid]])=0,SUM(Materialedata[[#This Row],[A1-A3/m²]:[C4/m²]]),0))
))</f>
        <v>.</v>
      </c>
      <c r="DE46" s="141" t="str">
        <f>IF(DE$2&gt;Input_Tidshorisont,BlankTegn,IF(DE$2=0,SUM(Materialedata[[#This Row],[A1-A3/m²]:[A4/m²]]),
DD46+IF(DE$2=Input_Tidshorisont,SUM(Materialedata[[#This Row],[C3/m²]:[C4/m²]]),IF(MOD(DE$2,Materialedata[[#This Row],[Levetid]])=0,SUM(Materialedata[[#This Row],[A1-A3/m²]:[C4/m²]]),0))
))</f>
        <v>.</v>
      </c>
      <c r="DF46" s="141" t="str">
        <f>IF(DF$2&gt;Input_Tidshorisont,BlankTegn,IF(DF$2=0,SUM(Materialedata[[#This Row],[A1-A3/m²]:[A4/m²]]),
DE46+IF(DF$2=Input_Tidshorisont,SUM(Materialedata[[#This Row],[C3/m²]:[C4/m²]]),IF(MOD(DF$2,Materialedata[[#This Row],[Levetid]])=0,SUM(Materialedata[[#This Row],[A1-A3/m²]:[C4/m²]]),0))
))</f>
        <v>.</v>
      </c>
      <c r="DG46" s="141" t="str">
        <f>IF(DG$2&gt;Input_Tidshorisont,BlankTegn,IF(DG$2=0,SUM(Materialedata[[#This Row],[A1-A3/m²]:[A4/m²]]),
DF46+IF(DG$2=Input_Tidshorisont,SUM(Materialedata[[#This Row],[C3/m²]:[C4/m²]]),IF(MOD(DG$2,Materialedata[[#This Row],[Levetid]])=0,SUM(Materialedata[[#This Row],[A1-A3/m²]:[C4/m²]]),0))
))</f>
        <v>.</v>
      </c>
      <c r="DH46" s="141" t="str">
        <f>IF(DH$2&gt;Input_Tidshorisont,BlankTegn,IF(DH$2=0,SUM(Materialedata[[#This Row],[A1-A3/m²]:[A4/m²]]),
DG46+IF(DH$2=Input_Tidshorisont,SUM(Materialedata[[#This Row],[C3/m²]:[C4/m²]]),IF(MOD(DH$2,Materialedata[[#This Row],[Levetid]])=0,SUM(Materialedata[[#This Row],[A1-A3/m²]:[C4/m²]]),0))
))</f>
        <v>.</v>
      </c>
      <c r="DI46" s="141" t="str">
        <f>IF(DI$2&gt;Input_Tidshorisont,BlankTegn,IF(DI$2=0,SUM(Materialedata[[#This Row],[A1-A3/m²]:[A4/m²]]),
DH46+IF(DI$2=Input_Tidshorisont,SUM(Materialedata[[#This Row],[C3/m²]:[C4/m²]]),IF(MOD(DI$2,Materialedata[[#This Row],[Levetid]])=0,SUM(Materialedata[[#This Row],[A1-A3/m²]:[C4/m²]]),0))
))</f>
        <v>.</v>
      </c>
      <c r="DJ46" s="141" t="str">
        <f>IF(DJ$2&gt;Input_Tidshorisont,BlankTegn,IF(DJ$2=0,SUM(Materialedata[[#This Row],[A1-A3/m²]:[A4/m²]]),
DI46+IF(DJ$2=Input_Tidshorisont,SUM(Materialedata[[#This Row],[C3/m²]:[C4/m²]]),IF(MOD(DJ$2,Materialedata[[#This Row],[Levetid]])=0,SUM(Materialedata[[#This Row],[A1-A3/m²]:[C4/m²]]),0))
))</f>
        <v>.</v>
      </c>
      <c r="DK46" s="141" t="str">
        <f>IF(DK$2&gt;Input_Tidshorisont,BlankTegn,IF(DK$2=0,SUM(Materialedata[[#This Row],[A1-A3/m²]:[A4/m²]]),
DJ46+IF(DK$2=Input_Tidshorisont,SUM(Materialedata[[#This Row],[C3/m²]:[C4/m²]]),IF(MOD(DK$2,Materialedata[[#This Row],[Levetid]])=0,SUM(Materialedata[[#This Row],[A1-A3/m²]:[C4/m²]]),0))
))</f>
        <v>.</v>
      </c>
      <c r="DL46" s="141" t="str">
        <f>IF(DL$2&gt;Input_Tidshorisont,BlankTegn,IF(DL$2=0,SUM(Materialedata[[#This Row],[A1-A3/m²]:[A4/m²]]),
DK46+IF(DL$2=Input_Tidshorisont,SUM(Materialedata[[#This Row],[C3/m²]:[C4/m²]]),IF(MOD(DL$2,Materialedata[[#This Row],[Levetid]])=0,SUM(Materialedata[[#This Row],[A1-A3/m²]:[C4/m²]]),0))
))</f>
        <v>.</v>
      </c>
      <c r="DM46" s="19"/>
    </row>
    <row r="47" spans="1:117" ht="36">
      <c r="A47" s="182" t="s">
        <v>36</v>
      </c>
      <c r="B47" s="182" t="s">
        <v>189</v>
      </c>
      <c r="C47" s="148" t="s">
        <v>131</v>
      </c>
      <c r="D47" s="149" t="s">
        <v>275</v>
      </c>
      <c r="E47" s="180" t="s">
        <v>289</v>
      </c>
      <c r="F47" s="182" t="s">
        <v>29</v>
      </c>
      <c r="G47" s="182">
        <v>60</v>
      </c>
      <c r="H47" s="183">
        <v>1000</v>
      </c>
      <c r="I47" s="184">
        <v>8.9999999999999993E-3</v>
      </c>
      <c r="J47" s="184" t="s">
        <v>232</v>
      </c>
      <c r="K47" s="182">
        <v>12.9</v>
      </c>
      <c r="L47" s="182" t="s">
        <v>215</v>
      </c>
      <c r="M47" s="185">
        <f>IF(ISBLANK(Materialedata[[#This Row],[A4-gruppe]]),BlankTegn,INDEX(Byggeproces[GWP],MATCH(Materialedata[[#This Row],[A4-gruppe]],Byggeproces[Gruppe/Undergruppe],0)))</f>
        <v>9.5100000000000004E-2</v>
      </c>
      <c r="N47" s="182">
        <v>0</v>
      </c>
      <c r="O47" s="182">
        <v>0.249</v>
      </c>
      <c r="P47" s="182">
        <v>0</v>
      </c>
      <c r="Q47" s="277">
        <f>Materialedata[[#This Row],[A1-A3/standardenhed]]</f>
        <v>12.9</v>
      </c>
      <c r="R47" s="278" cm="1">
        <f t="array" ref="R47">IFERROR(_xlfn.IFS(Materialedata[[#This Row],[Mængde-enhed]]="kg/m²",Materialedata[[#This Row],[A4/kg]]*Materialedata[[#This Row],[Mængde/m²]],Materialedata[[#This Row],[Mængde-enhed]]="m³/m²",Materialedata[[#This Row],[A4/kg]]*Materialedata[[#This Row],[Mængde/m²]]*Materialedata[[#This Row],[Densitet]]),"N/A")</f>
        <v>0.85589999999999988</v>
      </c>
      <c r="S47" s="277">
        <f>Materialedata[[#This Row],[C3/enhed]]</f>
        <v>0</v>
      </c>
      <c r="T47" s="277">
        <f>Materialedata[[#This Row],[C4/enhed]]</f>
        <v>0.249</v>
      </c>
      <c r="U47" s="277">
        <f>Materialedata[[#This Row],[D/enhed]]</f>
        <v>0</v>
      </c>
      <c r="V47" s="150">
        <f>IFERROR(INDEX(Range_Materiale_Genbrug,MATCH(Materialedata[[#This Row],[Komponent]],Facadekomponenter,0)),BlankTegn)</f>
        <v>0</v>
      </c>
      <c r="W47" s="150">
        <f>IFERROR(1-Materialedata[[#This Row],[Genbrug]],BlankTegn)</f>
        <v>1</v>
      </c>
      <c r="X47" s="186">
        <f>IFERROR(Materialedata[[#This Row],[A1-A3/m²_nyt]]*Materialedata[[#This Row],[Nyt]],BlankTegn)</f>
        <v>12.9</v>
      </c>
      <c r="Y47" s="186">
        <f>Materialedata[[#This Row],[A4/m²_nyt]]</f>
        <v>0.85589999999999988</v>
      </c>
      <c r="Z47" s="186">
        <f>IFERROR(Materialedata[[#This Row],[C3/m²_nyt]]*Materialedata[[#This Row],[Nyt]],BlankTegn)</f>
        <v>0</v>
      </c>
      <c r="AA47" s="186">
        <f>IFERROR(Materialedata[[#This Row],[C4/m²_nyt]]*Materialedata[[#This Row],[Nyt]],BlankTegn)</f>
        <v>0.249</v>
      </c>
      <c r="AB47" s="186">
        <f>IFERROR(Materialedata[[#This Row],[D/m²_nyt]]*Materialedata[[#This Row],[Nyt]],BlankTegn)</f>
        <v>0</v>
      </c>
      <c r="AC47" s="187">
        <v>336.87</v>
      </c>
      <c r="AD47" s="188" t="s">
        <v>29</v>
      </c>
      <c r="AE47" s="182">
        <v>1</v>
      </c>
      <c r="AF47" s="189">
        <f>Materialedata[[#This Row],[Pris/enhed]]*Materialedata[[#This Row],[Omregning]]</f>
        <v>336.87</v>
      </c>
      <c r="AG47" s="190">
        <v>0.02</v>
      </c>
      <c r="AH47" s="191">
        <v>1</v>
      </c>
      <c r="AI47" s="162">
        <v>0</v>
      </c>
      <c r="AJ47" s="141">
        <f>IF(AJ$2&gt;Input_Tidshorisont,BlankTegn,IF(AJ$2=0,SUM(Materialedata[[#This Row],[A1-A3/m²]:[A4/m²]]),
AI47+IF(AJ$2=Input_Tidshorisont,SUM(Materialedata[[#This Row],[C3/m²]:[C4/m²]]),IF(MOD(AJ$2,Materialedata[[#This Row],[Levetid]])=0,SUM(Materialedata[[#This Row],[A1-A3/m²]:[C4/m²]]),0))
))</f>
        <v>13.7559</v>
      </c>
      <c r="AK47" s="141">
        <f>IF(AK$2&gt;Input_Tidshorisont,BlankTegn,IF(AK$2=0,SUM(Materialedata[[#This Row],[A1-A3/m²]:[A4/m²]]),
AJ47+IF(AK$2=Input_Tidshorisont,SUM(Materialedata[[#This Row],[C3/m²]:[C4/m²]]),IF(MOD(AK$2,Materialedata[[#This Row],[Levetid]])=0,SUM(Materialedata[[#This Row],[A1-A3/m²]:[C4/m²]]),0))
))</f>
        <v>13.7559</v>
      </c>
      <c r="AL47" s="141">
        <f>IF(AL$2&gt;Input_Tidshorisont,BlankTegn,IF(AL$2=0,SUM(Materialedata[[#This Row],[A1-A3/m²]:[A4/m²]]),
AK47+IF(AL$2=Input_Tidshorisont,SUM(Materialedata[[#This Row],[C3/m²]:[C4/m²]]),IF(MOD(AL$2,Materialedata[[#This Row],[Levetid]])=0,SUM(Materialedata[[#This Row],[A1-A3/m²]:[C4/m²]]),0))
))</f>
        <v>13.7559</v>
      </c>
      <c r="AM47" s="141">
        <f>IF(AM$2&gt;Input_Tidshorisont,BlankTegn,IF(AM$2=0,SUM(Materialedata[[#This Row],[A1-A3/m²]:[A4/m²]]),
AL47+IF(AM$2=Input_Tidshorisont,SUM(Materialedata[[#This Row],[C3/m²]:[C4/m²]]),IF(MOD(AM$2,Materialedata[[#This Row],[Levetid]])=0,SUM(Materialedata[[#This Row],[A1-A3/m²]:[C4/m²]]),0))
))</f>
        <v>13.7559</v>
      </c>
      <c r="AN47" s="141">
        <f>IF(AN$2&gt;Input_Tidshorisont,BlankTegn,IF(AN$2=0,SUM(Materialedata[[#This Row],[A1-A3/m²]:[A4/m²]]),
AM47+IF(AN$2=Input_Tidshorisont,SUM(Materialedata[[#This Row],[C3/m²]:[C4/m²]]),IF(MOD(AN$2,Materialedata[[#This Row],[Levetid]])=0,SUM(Materialedata[[#This Row],[A1-A3/m²]:[C4/m²]]),0))
))</f>
        <v>13.7559</v>
      </c>
      <c r="AO47" s="141">
        <f>IF(AO$2&gt;Input_Tidshorisont,BlankTegn,IF(AO$2=0,SUM(Materialedata[[#This Row],[A1-A3/m²]:[A4/m²]]),
AN47+IF(AO$2=Input_Tidshorisont,SUM(Materialedata[[#This Row],[C3/m²]:[C4/m²]]),IF(MOD(AO$2,Materialedata[[#This Row],[Levetid]])=0,SUM(Materialedata[[#This Row],[A1-A3/m²]:[C4/m²]]),0))
))</f>
        <v>13.7559</v>
      </c>
      <c r="AP47" s="141">
        <f>IF(AP$2&gt;Input_Tidshorisont,BlankTegn,IF(AP$2=0,SUM(Materialedata[[#This Row],[A1-A3/m²]:[A4/m²]]),
AO47+IF(AP$2=Input_Tidshorisont,SUM(Materialedata[[#This Row],[C3/m²]:[C4/m²]]),IF(MOD(AP$2,Materialedata[[#This Row],[Levetid]])=0,SUM(Materialedata[[#This Row],[A1-A3/m²]:[C4/m²]]),0))
))</f>
        <v>13.7559</v>
      </c>
      <c r="AQ47" s="141">
        <f>IF(AQ$2&gt;Input_Tidshorisont,BlankTegn,IF(AQ$2=0,SUM(Materialedata[[#This Row],[A1-A3/m²]:[A4/m²]]),
AP47+IF(AQ$2=Input_Tidshorisont,SUM(Materialedata[[#This Row],[C3/m²]:[C4/m²]]),IF(MOD(AQ$2,Materialedata[[#This Row],[Levetid]])=0,SUM(Materialedata[[#This Row],[A1-A3/m²]:[C4/m²]]),0))
))</f>
        <v>13.7559</v>
      </c>
      <c r="AR47" s="141">
        <f>IF(AR$2&gt;Input_Tidshorisont,BlankTegn,IF(AR$2=0,SUM(Materialedata[[#This Row],[A1-A3/m²]:[A4/m²]]),
AQ47+IF(AR$2=Input_Tidshorisont,SUM(Materialedata[[#This Row],[C3/m²]:[C4/m²]]),IF(MOD(AR$2,Materialedata[[#This Row],[Levetid]])=0,SUM(Materialedata[[#This Row],[A1-A3/m²]:[C4/m²]]),0))
))</f>
        <v>13.7559</v>
      </c>
      <c r="AS47" s="141">
        <f>IF(AS$2&gt;Input_Tidshorisont,BlankTegn,IF(AS$2=0,SUM(Materialedata[[#This Row],[A1-A3/m²]:[A4/m²]]),
AR47+IF(AS$2=Input_Tidshorisont,SUM(Materialedata[[#This Row],[C3/m²]:[C4/m²]]),IF(MOD(AS$2,Materialedata[[#This Row],[Levetid]])=0,SUM(Materialedata[[#This Row],[A1-A3/m²]:[C4/m²]]),0))
))</f>
        <v>13.7559</v>
      </c>
      <c r="AT47" s="141">
        <f>IF(AT$2&gt;Input_Tidshorisont,BlankTegn,IF(AT$2=0,SUM(Materialedata[[#This Row],[A1-A3/m²]:[A4/m²]]),
AS47+IF(AT$2=Input_Tidshorisont,SUM(Materialedata[[#This Row],[C3/m²]:[C4/m²]]),IF(MOD(AT$2,Materialedata[[#This Row],[Levetid]])=0,SUM(Materialedata[[#This Row],[A1-A3/m²]:[C4/m²]]),0))
))</f>
        <v>13.7559</v>
      </c>
      <c r="AU47" s="141">
        <f>IF(AU$2&gt;Input_Tidshorisont,BlankTegn,IF(AU$2=0,SUM(Materialedata[[#This Row],[A1-A3/m²]:[A4/m²]]),
AT47+IF(AU$2=Input_Tidshorisont,SUM(Materialedata[[#This Row],[C3/m²]:[C4/m²]]),IF(MOD(AU$2,Materialedata[[#This Row],[Levetid]])=0,SUM(Materialedata[[#This Row],[A1-A3/m²]:[C4/m²]]),0))
))</f>
        <v>13.7559</v>
      </c>
      <c r="AV47" s="141">
        <f>IF(AV$2&gt;Input_Tidshorisont,BlankTegn,IF(AV$2=0,SUM(Materialedata[[#This Row],[A1-A3/m²]:[A4/m²]]),
AU47+IF(AV$2=Input_Tidshorisont,SUM(Materialedata[[#This Row],[C3/m²]:[C4/m²]]),IF(MOD(AV$2,Materialedata[[#This Row],[Levetid]])=0,SUM(Materialedata[[#This Row],[A1-A3/m²]:[C4/m²]]),0))
))</f>
        <v>13.7559</v>
      </c>
      <c r="AW47" s="141">
        <f>IF(AW$2&gt;Input_Tidshorisont,BlankTegn,IF(AW$2=0,SUM(Materialedata[[#This Row],[A1-A3/m²]:[A4/m²]]),
AV47+IF(AW$2=Input_Tidshorisont,SUM(Materialedata[[#This Row],[C3/m²]:[C4/m²]]),IF(MOD(AW$2,Materialedata[[#This Row],[Levetid]])=0,SUM(Materialedata[[#This Row],[A1-A3/m²]:[C4/m²]]),0))
))</f>
        <v>13.7559</v>
      </c>
      <c r="AX47" s="141">
        <f>IF(AX$2&gt;Input_Tidshorisont,BlankTegn,IF(AX$2=0,SUM(Materialedata[[#This Row],[A1-A3/m²]:[A4/m²]]),
AW47+IF(AX$2=Input_Tidshorisont,SUM(Materialedata[[#This Row],[C3/m²]:[C4/m²]]),IF(MOD(AX$2,Materialedata[[#This Row],[Levetid]])=0,SUM(Materialedata[[#This Row],[A1-A3/m²]:[C4/m²]]),0))
))</f>
        <v>13.7559</v>
      </c>
      <c r="AY47" s="141">
        <f>IF(AY$2&gt;Input_Tidshorisont,BlankTegn,IF(AY$2=0,SUM(Materialedata[[#This Row],[A1-A3/m²]:[A4/m²]]),
AX47+IF(AY$2=Input_Tidshorisont,SUM(Materialedata[[#This Row],[C3/m²]:[C4/m²]]),IF(MOD(AY$2,Materialedata[[#This Row],[Levetid]])=0,SUM(Materialedata[[#This Row],[A1-A3/m²]:[C4/m²]]),0))
))</f>
        <v>13.7559</v>
      </c>
      <c r="AZ47" s="141">
        <f>IF(AZ$2&gt;Input_Tidshorisont,BlankTegn,IF(AZ$2=0,SUM(Materialedata[[#This Row],[A1-A3/m²]:[A4/m²]]),
AY47+IF(AZ$2=Input_Tidshorisont,SUM(Materialedata[[#This Row],[C3/m²]:[C4/m²]]),IF(MOD(AZ$2,Materialedata[[#This Row],[Levetid]])=0,SUM(Materialedata[[#This Row],[A1-A3/m²]:[C4/m²]]),0))
))</f>
        <v>13.7559</v>
      </c>
      <c r="BA47" s="141">
        <f>IF(BA$2&gt;Input_Tidshorisont,BlankTegn,IF(BA$2=0,SUM(Materialedata[[#This Row],[A1-A3/m²]:[A4/m²]]),
AZ47+IF(BA$2=Input_Tidshorisont,SUM(Materialedata[[#This Row],[C3/m²]:[C4/m²]]),IF(MOD(BA$2,Materialedata[[#This Row],[Levetid]])=0,SUM(Materialedata[[#This Row],[A1-A3/m²]:[C4/m²]]),0))
))</f>
        <v>13.7559</v>
      </c>
      <c r="BB47" s="141">
        <f>IF(BB$2&gt;Input_Tidshorisont,BlankTegn,IF(BB$2=0,SUM(Materialedata[[#This Row],[A1-A3/m²]:[A4/m²]]),
BA47+IF(BB$2=Input_Tidshorisont,SUM(Materialedata[[#This Row],[C3/m²]:[C4/m²]]),IF(MOD(BB$2,Materialedata[[#This Row],[Levetid]])=0,SUM(Materialedata[[#This Row],[A1-A3/m²]:[C4/m²]]),0))
))</f>
        <v>13.7559</v>
      </c>
      <c r="BC47" s="141">
        <f>IF(BC$2&gt;Input_Tidshorisont,BlankTegn,IF(BC$2=0,SUM(Materialedata[[#This Row],[A1-A3/m²]:[A4/m²]]),
BB47+IF(BC$2=Input_Tidshorisont,SUM(Materialedata[[#This Row],[C3/m²]:[C4/m²]]),IF(MOD(BC$2,Materialedata[[#This Row],[Levetid]])=0,SUM(Materialedata[[#This Row],[A1-A3/m²]:[C4/m²]]),0))
))</f>
        <v>13.7559</v>
      </c>
      <c r="BD47" s="141">
        <f>IF(BD$2&gt;Input_Tidshorisont,BlankTegn,IF(BD$2=0,SUM(Materialedata[[#This Row],[A1-A3/m²]:[A4/m²]]),
BC47+IF(BD$2=Input_Tidshorisont,SUM(Materialedata[[#This Row],[C3/m²]:[C4/m²]]),IF(MOD(BD$2,Materialedata[[#This Row],[Levetid]])=0,SUM(Materialedata[[#This Row],[A1-A3/m²]:[C4/m²]]),0))
))</f>
        <v>13.7559</v>
      </c>
      <c r="BE47" s="141">
        <f>IF(BE$2&gt;Input_Tidshorisont,BlankTegn,IF(BE$2=0,SUM(Materialedata[[#This Row],[A1-A3/m²]:[A4/m²]]),
BD47+IF(BE$2=Input_Tidshorisont,SUM(Materialedata[[#This Row],[C3/m²]:[C4/m²]]),IF(MOD(BE$2,Materialedata[[#This Row],[Levetid]])=0,SUM(Materialedata[[#This Row],[A1-A3/m²]:[C4/m²]]),0))
))</f>
        <v>13.7559</v>
      </c>
      <c r="BF47" s="141">
        <f>IF(BF$2&gt;Input_Tidshorisont,BlankTegn,IF(BF$2=0,SUM(Materialedata[[#This Row],[A1-A3/m²]:[A4/m²]]),
BE47+IF(BF$2=Input_Tidshorisont,SUM(Materialedata[[#This Row],[C3/m²]:[C4/m²]]),IF(MOD(BF$2,Materialedata[[#This Row],[Levetid]])=0,SUM(Materialedata[[#This Row],[A1-A3/m²]:[C4/m²]]),0))
))</f>
        <v>13.7559</v>
      </c>
      <c r="BG47" s="141">
        <f>IF(BG$2&gt;Input_Tidshorisont,BlankTegn,IF(BG$2=0,SUM(Materialedata[[#This Row],[A1-A3/m²]:[A4/m²]]),
BF47+IF(BG$2=Input_Tidshorisont,SUM(Materialedata[[#This Row],[C3/m²]:[C4/m²]]),IF(MOD(BG$2,Materialedata[[#This Row],[Levetid]])=0,SUM(Materialedata[[#This Row],[A1-A3/m²]:[C4/m²]]),0))
))</f>
        <v>13.7559</v>
      </c>
      <c r="BH47" s="141">
        <f>IF(BH$2&gt;Input_Tidshorisont,BlankTegn,IF(BH$2=0,SUM(Materialedata[[#This Row],[A1-A3/m²]:[A4/m²]]),
BG47+IF(BH$2=Input_Tidshorisont,SUM(Materialedata[[#This Row],[C3/m²]:[C4/m²]]),IF(MOD(BH$2,Materialedata[[#This Row],[Levetid]])=0,SUM(Materialedata[[#This Row],[A1-A3/m²]:[C4/m²]]),0))
))</f>
        <v>13.7559</v>
      </c>
      <c r="BI47" s="141">
        <f>IF(BI$2&gt;Input_Tidshorisont,BlankTegn,IF(BI$2=0,SUM(Materialedata[[#This Row],[A1-A3/m²]:[A4/m²]]),
BH47+IF(BI$2=Input_Tidshorisont,SUM(Materialedata[[#This Row],[C3/m²]:[C4/m²]]),IF(MOD(BI$2,Materialedata[[#This Row],[Levetid]])=0,SUM(Materialedata[[#This Row],[A1-A3/m²]:[C4/m²]]),0))
))</f>
        <v>13.7559</v>
      </c>
      <c r="BJ47" s="141">
        <f>IF(BJ$2&gt;Input_Tidshorisont,BlankTegn,IF(BJ$2=0,SUM(Materialedata[[#This Row],[A1-A3/m²]:[A4/m²]]),
BI47+IF(BJ$2=Input_Tidshorisont,SUM(Materialedata[[#This Row],[C3/m²]:[C4/m²]]),IF(MOD(BJ$2,Materialedata[[#This Row],[Levetid]])=0,SUM(Materialedata[[#This Row],[A1-A3/m²]:[C4/m²]]),0))
))</f>
        <v>13.7559</v>
      </c>
      <c r="BK47" s="141">
        <f>IF(BK$2&gt;Input_Tidshorisont,BlankTegn,IF(BK$2=0,SUM(Materialedata[[#This Row],[A1-A3/m²]:[A4/m²]]),
BJ47+IF(BK$2=Input_Tidshorisont,SUM(Materialedata[[#This Row],[C3/m²]:[C4/m²]]),IF(MOD(BK$2,Materialedata[[#This Row],[Levetid]])=0,SUM(Materialedata[[#This Row],[A1-A3/m²]:[C4/m²]]),0))
))</f>
        <v>13.7559</v>
      </c>
      <c r="BL47" s="141">
        <f>IF(BL$2&gt;Input_Tidshorisont,BlankTegn,IF(BL$2=0,SUM(Materialedata[[#This Row],[A1-A3/m²]:[A4/m²]]),
BK47+IF(BL$2=Input_Tidshorisont,SUM(Materialedata[[#This Row],[C3/m²]:[C4/m²]]),IF(MOD(BL$2,Materialedata[[#This Row],[Levetid]])=0,SUM(Materialedata[[#This Row],[A1-A3/m²]:[C4/m²]]),0))
))</f>
        <v>13.7559</v>
      </c>
      <c r="BM47" s="141">
        <f>IF(BM$2&gt;Input_Tidshorisont,BlankTegn,IF(BM$2=0,SUM(Materialedata[[#This Row],[A1-A3/m²]:[A4/m²]]),
BL47+IF(BM$2=Input_Tidshorisont,SUM(Materialedata[[#This Row],[C3/m²]:[C4/m²]]),IF(MOD(BM$2,Materialedata[[#This Row],[Levetid]])=0,SUM(Materialedata[[#This Row],[A1-A3/m²]:[C4/m²]]),0))
))</f>
        <v>13.7559</v>
      </c>
      <c r="BN47" s="141">
        <f>IF(BN$2&gt;Input_Tidshorisont,BlankTegn,IF(BN$2=0,SUM(Materialedata[[#This Row],[A1-A3/m²]:[A4/m²]]),
BM47+IF(BN$2=Input_Tidshorisont,SUM(Materialedata[[#This Row],[C3/m²]:[C4/m²]]),IF(MOD(BN$2,Materialedata[[#This Row],[Levetid]])=0,SUM(Materialedata[[#This Row],[A1-A3/m²]:[C4/m²]]),0))
))</f>
        <v>13.7559</v>
      </c>
      <c r="BO47" s="141">
        <f>IF(BO$2&gt;Input_Tidshorisont,BlankTegn,IF(BO$2=0,SUM(Materialedata[[#This Row],[A1-A3/m²]:[A4/m²]]),
BN47+IF(BO$2=Input_Tidshorisont,SUM(Materialedata[[#This Row],[C3/m²]:[C4/m²]]),IF(MOD(BO$2,Materialedata[[#This Row],[Levetid]])=0,SUM(Materialedata[[#This Row],[A1-A3/m²]:[C4/m²]]),0))
))</f>
        <v>13.7559</v>
      </c>
      <c r="BP47" s="141">
        <f>IF(BP$2&gt;Input_Tidshorisont,BlankTegn,IF(BP$2=0,SUM(Materialedata[[#This Row],[A1-A3/m²]:[A4/m²]]),
BO47+IF(BP$2=Input_Tidshorisont,SUM(Materialedata[[#This Row],[C3/m²]:[C4/m²]]),IF(MOD(BP$2,Materialedata[[#This Row],[Levetid]])=0,SUM(Materialedata[[#This Row],[A1-A3/m²]:[C4/m²]]),0))
))</f>
        <v>13.7559</v>
      </c>
      <c r="BQ47" s="141">
        <f>IF(BQ$2&gt;Input_Tidshorisont,BlankTegn,IF(BQ$2=0,SUM(Materialedata[[#This Row],[A1-A3/m²]:[A4/m²]]),
BP47+IF(BQ$2=Input_Tidshorisont,SUM(Materialedata[[#This Row],[C3/m²]:[C4/m²]]),IF(MOD(BQ$2,Materialedata[[#This Row],[Levetid]])=0,SUM(Materialedata[[#This Row],[A1-A3/m²]:[C4/m²]]),0))
))</f>
        <v>13.7559</v>
      </c>
      <c r="BR47" s="141">
        <f>IF(BR$2&gt;Input_Tidshorisont,BlankTegn,IF(BR$2=0,SUM(Materialedata[[#This Row],[A1-A3/m²]:[A4/m²]]),
BQ47+IF(BR$2=Input_Tidshorisont,SUM(Materialedata[[#This Row],[C3/m²]:[C4/m²]]),IF(MOD(BR$2,Materialedata[[#This Row],[Levetid]])=0,SUM(Materialedata[[#This Row],[A1-A3/m²]:[C4/m²]]),0))
))</f>
        <v>13.7559</v>
      </c>
      <c r="BS47" s="141">
        <f>IF(BS$2&gt;Input_Tidshorisont,BlankTegn,IF(BS$2=0,SUM(Materialedata[[#This Row],[A1-A3/m²]:[A4/m²]]),
BR47+IF(BS$2=Input_Tidshorisont,SUM(Materialedata[[#This Row],[C3/m²]:[C4/m²]]),IF(MOD(BS$2,Materialedata[[#This Row],[Levetid]])=0,SUM(Materialedata[[#This Row],[A1-A3/m²]:[C4/m²]]),0))
))</f>
        <v>13.7559</v>
      </c>
      <c r="BT47" s="141">
        <f>IF(BT$2&gt;Input_Tidshorisont,BlankTegn,IF(BT$2=0,SUM(Materialedata[[#This Row],[A1-A3/m²]:[A4/m²]]),
BS47+IF(BT$2=Input_Tidshorisont,SUM(Materialedata[[#This Row],[C3/m²]:[C4/m²]]),IF(MOD(BT$2,Materialedata[[#This Row],[Levetid]])=0,SUM(Materialedata[[#This Row],[A1-A3/m²]:[C4/m²]]),0))
))</f>
        <v>13.7559</v>
      </c>
      <c r="BU47" s="141">
        <f>IF(BU$2&gt;Input_Tidshorisont,BlankTegn,IF(BU$2=0,SUM(Materialedata[[#This Row],[A1-A3/m²]:[A4/m²]]),
BT47+IF(BU$2=Input_Tidshorisont,SUM(Materialedata[[#This Row],[C3/m²]:[C4/m²]]),IF(MOD(BU$2,Materialedata[[#This Row],[Levetid]])=0,SUM(Materialedata[[#This Row],[A1-A3/m²]:[C4/m²]]),0))
))</f>
        <v>13.7559</v>
      </c>
      <c r="BV47" s="141">
        <f>IF(BV$2&gt;Input_Tidshorisont,BlankTegn,IF(BV$2=0,SUM(Materialedata[[#This Row],[A1-A3/m²]:[A4/m²]]),
BU47+IF(BV$2=Input_Tidshorisont,SUM(Materialedata[[#This Row],[C3/m²]:[C4/m²]]),IF(MOD(BV$2,Materialedata[[#This Row],[Levetid]])=0,SUM(Materialedata[[#This Row],[A1-A3/m²]:[C4/m²]]),0))
))</f>
        <v>13.7559</v>
      </c>
      <c r="BW47" s="141">
        <f>IF(BW$2&gt;Input_Tidshorisont,BlankTegn,IF(BW$2=0,SUM(Materialedata[[#This Row],[A1-A3/m²]:[A4/m²]]),
BV47+IF(BW$2=Input_Tidshorisont,SUM(Materialedata[[#This Row],[C3/m²]:[C4/m²]]),IF(MOD(BW$2,Materialedata[[#This Row],[Levetid]])=0,SUM(Materialedata[[#This Row],[A1-A3/m²]:[C4/m²]]),0))
))</f>
        <v>13.7559</v>
      </c>
      <c r="BX47" s="141">
        <f>IF(BX$2&gt;Input_Tidshorisont,BlankTegn,IF(BX$2=0,SUM(Materialedata[[#This Row],[A1-A3/m²]:[A4/m²]]),
BW47+IF(BX$2=Input_Tidshorisont,SUM(Materialedata[[#This Row],[C3/m²]:[C4/m²]]),IF(MOD(BX$2,Materialedata[[#This Row],[Levetid]])=0,SUM(Materialedata[[#This Row],[A1-A3/m²]:[C4/m²]]),0))
))</f>
        <v>13.7559</v>
      </c>
      <c r="BY47" s="141">
        <f>IF(BY$2&gt;Input_Tidshorisont,BlankTegn,IF(BY$2=0,SUM(Materialedata[[#This Row],[A1-A3/m²]:[A4/m²]]),
BX47+IF(BY$2=Input_Tidshorisont,SUM(Materialedata[[#This Row],[C3/m²]:[C4/m²]]),IF(MOD(BY$2,Materialedata[[#This Row],[Levetid]])=0,SUM(Materialedata[[#This Row],[A1-A3/m²]:[C4/m²]]),0))
))</f>
        <v>13.7559</v>
      </c>
      <c r="BZ47" s="141">
        <f>IF(BZ$2&gt;Input_Tidshorisont,BlankTegn,IF(BZ$2=0,SUM(Materialedata[[#This Row],[A1-A3/m²]:[A4/m²]]),
BY47+IF(BZ$2=Input_Tidshorisont,SUM(Materialedata[[#This Row],[C3/m²]:[C4/m²]]),IF(MOD(BZ$2,Materialedata[[#This Row],[Levetid]])=0,SUM(Materialedata[[#This Row],[A1-A3/m²]:[C4/m²]]),0))
))</f>
        <v>13.7559</v>
      </c>
      <c r="CA47" s="141">
        <f>IF(CA$2&gt;Input_Tidshorisont,BlankTegn,IF(CA$2=0,SUM(Materialedata[[#This Row],[A1-A3/m²]:[A4/m²]]),
BZ47+IF(CA$2=Input_Tidshorisont,SUM(Materialedata[[#This Row],[C3/m²]:[C4/m²]]),IF(MOD(CA$2,Materialedata[[#This Row],[Levetid]])=0,SUM(Materialedata[[#This Row],[A1-A3/m²]:[C4/m²]]),0))
))</f>
        <v>13.7559</v>
      </c>
      <c r="CB47" s="141">
        <f>IF(CB$2&gt;Input_Tidshorisont,BlankTegn,IF(CB$2=0,SUM(Materialedata[[#This Row],[A1-A3/m²]:[A4/m²]]),
CA47+IF(CB$2=Input_Tidshorisont,SUM(Materialedata[[#This Row],[C3/m²]:[C4/m²]]),IF(MOD(CB$2,Materialedata[[#This Row],[Levetid]])=0,SUM(Materialedata[[#This Row],[A1-A3/m²]:[C4/m²]]),0))
))</f>
        <v>13.7559</v>
      </c>
      <c r="CC47" s="141">
        <f>IF(CC$2&gt;Input_Tidshorisont,BlankTegn,IF(CC$2=0,SUM(Materialedata[[#This Row],[A1-A3/m²]:[A4/m²]]),
CB47+IF(CC$2=Input_Tidshorisont,SUM(Materialedata[[#This Row],[C3/m²]:[C4/m²]]),IF(MOD(CC$2,Materialedata[[#This Row],[Levetid]])=0,SUM(Materialedata[[#This Row],[A1-A3/m²]:[C4/m²]]),0))
))</f>
        <v>13.7559</v>
      </c>
      <c r="CD47" s="141">
        <f>IF(CD$2&gt;Input_Tidshorisont,BlankTegn,IF(CD$2=0,SUM(Materialedata[[#This Row],[A1-A3/m²]:[A4/m²]]),
CC47+IF(CD$2=Input_Tidshorisont,SUM(Materialedata[[#This Row],[C3/m²]:[C4/m²]]),IF(MOD(CD$2,Materialedata[[#This Row],[Levetid]])=0,SUM(Materialedata[[#This Row],[A1-A3/m²]:[C4/m²]]),0))
))</f>
        <v>13.7559</v>
      </c>
      <c r="CE47" s="141">
        <f>IF(CE$2&gt;Input_Tidshorisont,BlankTegn,IF(CE$2=0,SUM(Materialedata[[#This Row],[A1-A3/m²]:[A4/m²]]),
CD47+IF(CE$2=Input_Tidshorisont,SUM(Materialedata[[#This Row],[C3/m²]:[C4/m²]]),IF(MOD(CE$2,Materialedata[[#This Row],[Levetid]])=0,SUM(Materialedata[[#This Row],[A1-A3/m²]:[C4/m²]]),0))
))</f>
        <v>13.7559</v>
      </c>
      <c r="CF47" s="141">
        <f>IF(CF$2&gt;Input_Tidshorisont,BlankTegn,IF(CF$2=0,SUM(Materialedata[[#This Row],[A1-A3/m²]:[A4/m²]]),
CE47+IF(CF$2=Input_Tidshorisont,SUM(Materialedata[[#This Row],[C3/m²]:[C4/m²]]),IF(MOD(CF$2,Materialedata[[#This Row],[Levetid]])=0,SUM(Materialedata[[#This Row],[A1-A3/m²]:[C4/m²]]),0))
))</f>
        <v>13.7559</v>
      </c>
      <c r="CG47" s="141">
        <f>IF(CG$2&gt;Input_Tidshorisont,BlankTegn,IF(CG$2=0,SUM(Materialedata[[#This Row],[A1-A3/m²]:[A4/m²]]),
CF47+IF(CG$2=Input_Tidshorisont,SUM(Materialedata[[#This Row],[C3/m²]:[C4/m²]]),IF(MOD(CG$2,Materialedata[[#This Row],[Levetid]])=0,SUM(Materialedata[[#This Row],[A1-A3/m²]:[C4/m²]]),0))
))</f>
        <v>13.7559</v>
      </c>
      <c r="CH47" s="141">
        <f>IF(CH$2&gt;Input_Tidshorisont,BlankTegn,IF(CH$2=0,SUM(Materialedata[[#This Row],[A1-A3/m²]:[A4/m²]]),
CG47+IF(CH$2=Input_Tidshorisont,SUM(Materialedata[[#This Row],[C3/m²]:[C4/m²]]),IF(MOD(CH$2,Materialedata[[#This Row],[Levetid]])=0,SUM(Materialedata[[#This Row],[A1-A3/m²]:[C4/m²]]),0))
))</f>
        <v>14.004900000000001</v>
      </c>
      <c r="CI47" s="141" t="str">
        <f>IF(CI$2&gt;Input_Tidshorisont,BlankTegn,IF(CI$2=0,SUM(Materialedata[[#This Row],[A1-A3/m²]:[A4/m²]]),
CH47+IF(CI$2=Input_Tidshorisont,SUM(Materialedata[[#This Row],[C3/m²]:[C4/m²]]),IF(MOD(CI$2,Materialedata[[#This Row],[Levetid]])=0,SUM(Materialedata[[#This Row],[A1-A3/m²]:[C4/m²]]),0))
))</f>
        <v>.</v>
      </c>
      <c r="CJ47" s="141" t="str">
        <f>IF(CJ$2&gt;Input_Tidshorisont,BlankTegn,IF(CJ$2=0,SUM(Materialedata[[#This Row],[A1-A3/m²]:[A4/m²]]),
CI47+IF(CJ$2=Input_Tidshorisont,SUM(Materialedata[[#This Row],[C3/m²]:[C4/m²]]),IF(MOD(CJ$2,Materialedata[[#This Row],[Levetid]])=0,SUM(Materialedata[[#This Row],[A1-A3/m²]:[C4/m²]]),0))
))</f>
        <v>.</v>
      </c>
      <c r="CK47" s="141" t="str">
        <f>IF(CK$2&gt;Input_Tidshorisont,BlankTegn,IF(CK$2=0,SUM(Materialedata[[#This Row],[A1-A3/m²]:[A4/m²]]),
CJ47+IF(CK$2=Input_Tidshorisont,SUM(Materialedata[[#This Row],[C3/m²]:[C4/m²]]),IF(MOD(CK$2,Materialedata[[#This Row],[Levetid]])=0,SUM(Materialedata[[#This Row],[A1-A3/m²]:[C4/m²]]),0))
))</f>
        <v>.</v>
      </c>
      <c r="CL47" s="141" t="str">
        <f>IF(CL$2&gt;Input_Tidshorisont,BlankTegn,IF(CL$2=0,SUM(Materialedata[[#This Row],[A1-A3/m²]:[A4/m²]]),
CK47+IF(CL$2=Input_Tidshorisont,SUM(Materialedata[[#This Row],[C3/m²]:[C4/m²]]),IF(MOD(CL$2,Materialedata[[#This Row],[Levetid]])=0,SUM(Materialedata[[#This Row],[A1-A3/m²]:[C4/m²]]),0))
))</f>
        <v>.</v>
      </c>
      <c r="CM47" s="141" t="str">
        <f>IF(CM$2&gt;Input_Tidshorisont,BlankTegn,IF(CM$2=0,SUM(Materialedata[[#This Row],[A1-A3/m²]:[A4/m²]]),
CL47+IF(CM$2=Input_Tidshorisont,SUM(Materialedata[[#This Row],[C3/m²]:[C4/m²]]),IF(MOD(CM$2,Materialedata[[#This Row],[Levetid]])=0,SUM(Materialedata[[#This Row],[A1-A3/m²]:[C4/m²]]),0))
))</f>
        <v>.</v>
      </c>
      <c r="CN47" s="141" t="str">
        <f>IF(CN$2&gt;Input_Tidshorisont,BlankTegn,IF(CN$2=0,SUM(Materialedata[[#This Row],[A1-A3/m²]:[A4/m²]]),
CM47+IF(CN$2=Input_Tidshorisont,SUM(Materialedata[[#This Row],[C3/m²]:[C4/m²]]),IF(MOD(CN$2,Materialedata[[#This Row],[Levetid]])=0,SUM(Materialedata[[#This Row],[A1-A3/m²]:[C4/m²]]),0))
))</f>
        <v>.</v>
      </c>
      <c r="CO47" s="141" t="str">
        <f>IF(CO$2&gt;Input_Tidshorisont,BlankTegn,IF(CO$2=0,SUM(Materialedata[[#This Row],[A1-A3/m²]:[A4/m²]]),
CN47+IF(CO$2=Input_Tidshorisont,SUM(Materialedata[[#This Row],[C3/m²]:[C4/m²]]),IF(MOD(CO$2,Materialedata[[#This Row],[Levetid]])=0,SUM(Materialedata[[#This Row],[A1-A3/m²]:[C4/m²]]),0))
))</f>
        <v>.</v>
      </c>
      <c r="CP47" s="141" t="str">
        <f>IF(CP$2&gt;Input_Tidshorisont,BlankTegn,IF(CP$2=0,SUM(Materialedata[[#This Row],[A1-A3/m²]:[A4/m²]]),
CO47+IF(CP$2=Input_Tidshorisont,SUM(Materialedata[[#This Row],[C3/m²]:[C4/m²]]),IF(MOD(CP$2,Materialedata[[#This Row],[Levetid]])=0,SUM(Materialedata[[#This Row],[A1-A3/m²]:[C4/m²]]),0))
))</f>
        <v>.</v>
      </c>
      <c r="CQ47" s="141" t="str">
        <f>IF(CQ$2&gt;Input_Tidshorisont,BlankTegn,IF(CQ$2=0,SUM(Materialedata[[#This Row],[A1-A3/m²]:[A4/m²]]),
CP47+IF(CQ$2=Input_Tidshorisont,SUM(Materialedata[[#This Row],[C3/m²]:[C4/m²]]),IF(MOD(CQ$2,Materialedata[[#This Row],[Levetid]])=0,SUM(Materialedata[[#This Row],[A1-A3/m²]:[C4/m²]]),0))
))</f>
        <v>.</v>
      </c>
      <c r="CR47" s="141" t="str">
        <f>IF(CR$2&gt;Input_Tidshorisont,BlankTegn,IF(CR$2=0,SUM(Materialedata[[#This Row],[A1-A3/m²]:[A4/m²]]),
CQ47+IF(CR$2=Input_Tidshorisont,SUM(Materialedata[[#This Row],[C3/m²]:[C4/m²]]),IF(MOD(CR$2,Materialedata[[#This Row],[Levetid]])=0,SUM(Materialedata[[#This Row],[A1-A3/m²]:[C4/m²]]),0))
))</f>
        <v>.</v>
      </c>
      <c r="CS47" s="141" t="str">
        <f>IF(CS$2&gt;Input_Tidshorisont,BlankTegn,IF(CS$2=0,SUM(Materialedata[[#This Row],[A1-A3/m²]:[A4/m²]]),
CR47+IF(CS$2=Input_Tidshorisont,SUM(Materialedata[[#This Row],[C3/m²]:[C4/m²]]),IF(MOD(CS$2,Materialedata[[#This Row],[Levetid]])=0,SUM(Materialedata[[#This Row],[A1-A3/m²]:[C4/m²]]),0))
))</f>
        <v>.</v>
      </c>
      <c r="CT47" s="141" t="str">
        <f>IF(CT$2&gt;Input_Tidshorisont,BlankTegn,IF(CT$2=0,SUM(Materialedata[[#This Row],[A1-A3/m²]:[A4/m²]]),
CS47+IF(CT$2=Input_Tidshorisont,SUM(Materialedata[[#This Row],[C3/m²]:[C4/m²]]),IF(MOD(CT$2,Materialedata[[#This Row],[Levetid]])=0,SUM(Materialedata[[#This Row],[A1-A3/m²]:[C4/m²]]),0))
))</f>
        <v>.</v>
      </c>
      <c r="CU47" s="141" t="str">
        <f>IF(CU$2&gt;Input_Tidshorisont,BlankTegn,IF(CU$2=0,SUM(Materialedata[[#This Row],[A1-A3/m²]:[A4/m²]]),
CT47+IF(CU$2=Input_Tidshorisont,SUM(Materialedata[[#This Row],[C3/m²]:[C4/m²]]),IF(MOD(CU$2,Materialedata[[#This Row],[Levetid]])=0,SUM(Materialedata[[#This Row],[A1-A3/m²]:[C4/m²]]),0))
))</f>
        <v>.</v>
      </c>
      <c r="CV47" s="141" t="str">
        <f>IF(CV$2&gt;Input_Tidshorisont,BlankTegn,IF(CV$2=0,SUM(Materialedata[[#This Row],[A1-A3/m²]:[A4/m²]]),
CU47+IF(CV$2=Input_Tidshorisont,SUM(Materialedata[[#This Row],[C3/m²]:[C4/m²]]),IF(MOD(CV$2,Materialedata[[#This Row],[Levetid]])=0,SUM(Materialedata[[#This Row],[A1-A3/m²]:[C4/m²]]),0))
))</f>
        <v>.</v>
      </c>
      <c r="CW47" s="141" t="str">
        <f>IF(CW$2&gt;Input_Tidshorisont,BlankTegn,IF(CW$2=0,SUM(Materialedata[[#This Row],[A1-A3/m²]:[A4/m²]]),
CV47+IF(CW$2=Input_Tidshorisont,SUM(Materialedata[[#This Row],[C3/m²]:[C4/m²]]),IF(MOD(CW$2,Materialedata[[#This Row],[Levetid]])=0,SUM(Materialedata[[#This Row],[A1-A3/m²]:[C4/m²]]),0))
))</f>
        <v>.</v>
      </c>
      <c r="CX47" s="141" t="str">
        <f>IF(CX$2&gt;Input_Tidshorisont,BlankTegn,IF(CX$2=0,SUM(Materialedata[[#This Row],[A1-A3/m²]:[A4/m²]]),
CW47+IF(CX$2=Input_Tidshorisont,SUM(Materialedata[[#This Row],[C3/m²]:[C4/m²]]),IF(MOD(CX$2,Materialedata[[#This Row],[Levetid]])=0,SUM(Materialedata[[#This Row],[A1-A3/m²]:[C4/m²]]),0))
))</f>
        <v>.</v>
      </c>
      <c r="CY47" s="141" t="str">
        <f>IF(CY$2&gt;Input_Tidshorisont,BlankTegn,IF(CY$2=0,SUM(Materialedata[[#This Row],[A1-A3/m²]:[A4/m²]]),
CX47+IF(CY$2=Input_Tidshorisont,SUM(Materialedata[[#This Row],[C3/m²]:[C4/m²]]),IF(MOD(CY$2,Materialedata[[#This Row],[Levetid]])=0,SUM(Materialedata[[#This Row],[A1-A3/m²]:[C4/m²]]),0))
))</f>
        <v>.</v>
      </c>
      <c r="CZ47" s="141" t="str">
        <f>IF(CZ$2&gt;Input_Tidshorisont,BlankTegn,IF(CZ$2=0,SUM(Materialedata[[#This Row],[A1-A3/m²]:[A4/m²]]),
CY47+IF(CZ$2=Input_Tidshorisont,SUM(Materialedata[[#This Row],[C3/m²]:[C4/m²]]),IF(MOD(CZ$2,Materialedata[[#This Row],[Levetid]])=0,SUM(Materialedata[[#This Row],[A1-A3/m²]:[C4/m²]]),0))
))</f>
        <v>.</v>
      </c>
      <c r="DA47" s="141" t="str">
        <f>IF(DA$2&gt;Input_Tidshorisont,BlankTegn,IF(DA$2=0,SUM(Materialedata[[#This Row],[A1-A3/m²]:[A4/m²]]),
CZ47+IF(DA$2=Input_Tidshorisont,SUM(Materialedata[[#This Row],[C3/m²]:[C4/m²]]),IF(MOD(DA$2,Materialedata[[#This Row],[Levetid]])=0,SUM(Materialedata[[#This Row],[A1-A3/m²]:[C4/m²]]),0))
))</f>
        <v>.</v>
      </c>
      <c r="DB47" s="141" t="str">
        <f>IF(DB$2&gt;Input_Tidshorisont,BlankTegn,IF(DB$2=0,SUM(Materialedata[[#This Row],[A1-A3/m²]:[A4/m²]]),
DA47+IF(DB$2=Input_Tidshorisont,SUM(Materialedata[[#This Row],[C3/m²]:[C4/m²]]),IF(MOD(DB$2,Materialedata[[#This Row],[Levetid]])=0,SUM(Materialedata[[#This Row],[A1-A3/m²]:[C4/m²]]),0))
))</f>
        <v>.</v>
      </c>
      <c r="DC47" s="141" t="str">
        <f>IF(DC$2&gt;Input_Tidshorisont,BlankTegn,IF(DC$2=0,SUM(Materialedata[[#This Row],[A1-A3/m²]:[A4/m²]]),
DB47+IF(DC$2=Input_Tidshorisont,SUM(Materialedata[[#This Row],[C3/m²]:[C4/m²]]),IF(MOD(DC$2,Materialedata[[#This Row],[Levetid]])=0,SUM(Materialedata[[#This Row],[A1-A3/m²]:[C4/m²]]),0))
))</f>
        <v>.</v>
      </c>
      <c r="DD47" s="141" t="str">
        <f>IF(DD$2&gt;Input_Tidshorisont,BlankTegn,IF(DD$2=0,SUM(Materialedata[[#This Row],[A1-A3/m²]:[A4/m²]]),
DC47+IF(DD$2=Input_Tidshorisont,SUM(Materialedata[[#This Row],[C3/m²]:[C4/m²]]),IF(MOD(DD$2,Materialedata[[#This Row],[Levetid]])=0,SUM(Materialedata[[#This Row],[A1-A3/m²]:[C4/m²]]),0))
))</f>
        <v>.</v>
      </c>
      <c r="DE47" s="141" t="str">
        <f>IF(DE$2&gt;Input_Tidshorisont,BlankTegn,IF(DE$2=0,SUM(Materialedata[[#This Row],[A1-A3/m²]:[A4/m²]]),
DD47+IF(DE$2=Input_Tidshorisont,SUM(Materialedata[[#This Row],[C3/m²]:[C4/m²]]),IF(MOD(DE$2,Materialedata[[#This Row],[Levetid]])=0,SUM(Materialedata[[#This Row],[A1-A3/m²]:[C4/m²]]),0))
))</f>
        <v>.</v>
      </c>
      <c r="DF47" s="141" t="str">
        <f>IF(DF$2&gt;Input_Tidshorisont,BlankTegn,IF(DF$2=0,SUM(Materialedata[[#This Row],[A1-A3/m²]:[A4/m²]]),
DE47+IF(DF$2=Input_Tidshorisont,SUM(Materialedata[[#This Row],[C3/m²]:[C4/m²]]),IF(MOD(DF$2,Materialedata[[#This Row],[Levetid]])=0,SUM(Materialedata[[#This Row],[A1-A3/m²]:[C4/m²]]),0))
))</f>
        <v>.</v>
      </c>
      <c r="DG47" s="141" t="str">
        <f>IF(DG$2&gt;Input_Tidshorisont,BlankTegn,IF(DG$2=0,SUM(Materialedata[[#This Row],[A1-A3/m²]:[A4/m²]]),
DF47+IF(DG$2=Input_Tidshorisont,SUM(Materialedata[[#This Row],[C3/m²]:[C4/m²]]),IF(MOD(DG$2,Materialedata[[#This Row],[Levetid]])=0,SUM(Materialedata[[#This Row],[A1-A3/m²]:[C4/m²]]),0))
))</f>
        <v>.</v>
      </c>
      <c r="DH47" s="141" t="str">
        <f>IF(DH$2&gt;Input_Tidshorisont,BlankTegn,IF(DH$2=0,SUM(Materialedata[[#This Row],[A1-A3/m²]:[A4/m²]]),
DG47+IF(DH$2=Input_Tidshorisont,SUM(Materialedata[[#This Row],[C3/m²]:[C4/m²]]),IF(MOD(DH$2,Materialedata[[#This Row],[Levetid]])=0,SUM(Materialedata[[#This Row],[A1-A3/m²]:[C4/m²]]),0))
))</f>
        <v>.</v>
      </c>
      <c r="DI47" s="141" t="str">
        <f>IF(DI$2&gt;Input_Tidshorisont,BlankTegn,IF(DI$2=0,SUM(Materialedata[[#This Row],[A1-A3/m²]:[A4/m²]]),
DH47+IF(DI$2=Input_Tidshorisont,SUM(Materialedata[[#This Row],[C3/m²]:[C4/m²]]),IF(MOD(DI$2,Materialedata[[#This Row],[Levetid]])=0,SUM(Materialedata[[#This Row],[A1-A3/m²]:[C4/m²]]),0))
))</f>
        <v>.</v>
      </c>
      <c r="DJ47" s="141" t="str">
        <f>IF(DJ$2&gt;Input_Tidshorisont,BlankTegn,IF(DJ$2=0,SUM(Materialedata[[#This Row],[A1-A3/m²]:[A4/m²]]),
DI47+IF(DJ$2=Input_Tidshorisont,SUM(Materialedata[[#This Row],[C3/m²]:[C4/m²]]),IF(MOD(DJ$2,Materialedata[[#This Row],[Levetid]])=0,SUM(Materialedata[[#This Row],[A1-A3/m²]:[C4/m²]]),0))
))</f>
        <v>.</v>
      </c>
      <c r="DK47" s="141" t="str">
        <f>IF(DK$2&gt;Input_Tidshorisont,BlankTegn,IF(DK$2=0,SUM(Materialedata[[#This Row],[A1-A3/m²]:[A4/m²]]),
DJ47+IF(DK$2=Input_Tidshorisont,SUM(Materialedata[[#This Row],[C3/m²]:[C4/m²]]),IF(MOD(DK$2,Materialedata[[#This Row],[Levetid]])=0,SUM(Materialedata[[#This Row],[A1-A3/m²]:[C4/m²]]),0))
))</f>
        <v>.</v>
      </c>
      <c r="DL47" s="141" t="str">
        <f>IF(DL$2&gt;Input_Tidshorisont,BlankTegn,IF(DL$2=0,SUM(Materialedata[[#This Row],[A1-A3/m²]:[A4/m²]]),
DK47+IF(DL$2=Input_Tidshorisont,SUM(Materialedata[[#This Row],[C3/m²]:[C4/m²]]),IF(MOD(DL$2,Materialedata[[#This Row],[Levetid]])=0,SUM(Materialedata[[#This Row],[A1-A3/m²]:[C4/m²]]),0))
))</f>
        <v>.</v>
      </c>
      <c r="DM47" s="19"/>
    </row>
    <row r="48" spans="1:117">
      <c r="A48" s="182" t="s">
        <v>284</v>
      </c>
      <c r="B48" s="182" t="s">
        <v>190</v>
      </c>
      <c r="C48" s="148" t="s">
        <v>191</v>
      </c>
      <c r="D48" s="196"/>
      <c r="E48" s="180" t="s">
        <v>192</v>
      </c>
      <c r="F48" s="182" t="s">
        <v>134</v>
      </c>
      <c r="G48" s="182">
        <v>12</v>
      </c>
      <c r="H48" s="183"/>
      <c r="I48" s="184"/>
      <c r="J48" s="196"/>
      <c r="K48" s="182">
        <v>2.081</v>
      </c>
      <c r="L48" s="182"/>
      <c r="M48" s="185" t="str">
        <f>IF(ISBLANK(Materialedata[[#This Row],[A4-gruppe]]),BlankTegn,INDEX(Byggeproces[GWP],MATCH(Materialedata[[#This Row],[A4-gruppe]],Byggeproces[Gruppe/Undergruppe],0)))</f>
        <v>.</v>
      </c>
      <c r="N48" s="182">
        <v>0</v>
      </c>
      <c r="O48" s="182">
        <v>1.609E-2</v>
      </c>
      <c r="P48" s="182">
        <v>-3.5000000000000001E-3</v>
      </c>
      <c r="Q48" s="277">
        <f>Materialedata[[#This Row],[A1-A3/standardenhed]]*0.707</f>
        <v>1.4712669999999999</v>
      </c>
      <c r="R48" s="278" t="str" cm="1">
        <f t="array" ref="R48">IFERROR(_xlfn.IFS(Materialedata[[#This Row],[Mængde-enhed]]="kg/m²",Materialedata[[#This Row],[A4/kg]]*Materialedata[[#This Row],[Mængde/m²]],Materialedata[[#This Row],[Mængde-enhed]]="m³/m²",Materialedata[[#This Row],[A4/kg]]*Materialedata[[#This Row],[Mængde/m²]]*Materialedata[[#This Row],[Densitet]]),"N/A")</f>
        <v>N/A</v>
      </c>
      <c r="S48" s="277">
        <f>Materialedata[[#This Row],[C3/enhed]]*0.707</f>
        <v>0</v>
      </c>
      <c r="T48" s="277">
        <f>Materialedata[[#This Row],[C4/enhed]]*0.707</f>
        <v>1.1375629999999999E-2</v>
      </c>
      <c r="U48" s="277">
        <f>Materialedata[[#This Row],[D/enhed]]*0.707</f>
        <v>-2.4744999999999997E-3</v>
      </c>
      <c r="V48" s="150" t="str">
        <f>IFERROR(INDEX(Range_Materiale_Genbrug,MATCH(Materialedata[[#This Row],[Komponent]],Facadekomponenter,0)),BlankTegn)</f>
        <v>.</v>
      </c>
      <c r="W48" s="150" t="str">
        <f>IFERROR(1-Materialedata[[#This Row],[Genbrug]],BlankTegn)</f>
        <v>.</v>
      </c>
      <c r="X48" s="186" t="str">
        <f>IFERROR(Materialedata[[#This Row],[A1-A3/m²_nyt]]*Materialedata[[#This Row],[Nyt]],BlankTegn)</f>
        <v>.</v>
      </c>
      <c r="Y48" s="186" t="str">
        <f>Materialedata[[#This Row],[A4/m²_nyt]]</f>
        <v>N/A</v>
      </c>
      <c r="Z48" s="186" t="str">
        <f>IFERROR(Materialedata[[#This Row],[C3/m²_nyt]]*Materialedata[[#This Row],[Nyt]],BlankTegn)</f>
        <v>.</v>
      </c>
      <c r="AA48" s="186" t="str">
        <f>IFERROR(Materialedata[[#This Row],[C4/m²_nyt]]*Materialedata[[#This Row],[Nyt]],BlankTegn)</f>
        <v>.</v>
      </c>
      <c r="AB48" s="186" t="str">
        <f>IFERROR(Materialedata[[#This Row],[D/m²_nyt]]*Materialedata[[#This Row],[Nyt]],BlankTegn)</f>
        <v>.</v>
      </c>
      <c r="AC48" s="187"/>
      <c r="AD48" s="188"/>
      <c r="AE48" s="182"/>
      <c r="AF48" s="189">
        <f>Materialedata[[#This Row],[Pris/enhed]]*Materialedata[[#This Row],[Omregning]]</f>
        <v>0</v>
      </c>
      <c r="AG48" s="190">
        <v>0.01</v>
      </c>
      <c r="AH48" s="191">
        <v>1</v>
      </c>
      <c r="AI48" s="162">
        <v>0</v>
      </c>
      <c r="AJ48" s="141">
        <f>IF(AJ$2&gt;Input_Tidshorisont,BlankTegn,IF(AJ$2=0,SUM(Materialedata[[#This Row],[A1-A3/m²]:[A4/m²]]),
AI48+IF(AJ$2=Input_Tidshorisont,SUM(Materialedata[[#This Row],[C3/m²]:[C4/m²]]),IF(MOD(AJ$2,Materialedata[[#This Row],[Levetid]])=0,SUM(Materialedata[[#This Row],[A1-A3/m²]:[C4/m²]]),0))
))</f>
        <v>0</v>
      </c>
      <c r="AK48" s="141">
        <f>IF(AK$2&gt;Input_Tidshorisont,BlankTegn,IF(AK$2=0,SUM(Materialedata[[#This Row],[A1-A3/m²]:[A4/m²]]),
AJ48+IF(AK$2=Input_Tidshorisont,SUM(Materialedata[[#This Row],[C3/m²]:[C4/m²]]),IF(MOD(AK$2,Materialedata[[#This Row],[Levetid]])=0,SUM(Materialedata[[#This Row],[A1-A3/m²]:[C4/m²]]),0))
))</f>
        <v>0</v>
      </c>
      <c r="AL48" s="141">
        <f>IF(AL$2&gt;Input_Tidshorisont,BlankTegn,IF(AL$2=0,SUM(Materialedata[[#This Row],[A1-A3/m²]:[A4/m²]]),
AK48+IF(AL$2=Input_Tidshorisont,SUM(Materialedata[[#This Row],[C3/m²]:[C4/m²]]),IF(MOD(AL$2,Materialedata[[#This Row],[Levetid]])=0,SUM(Materialedata[[#This Row],[A1-A3/m²]:[C4/m²]]),0))
))</f>
        <v>0</v>
      </c>
      <c r="AM48" s="141">
        <f>IF(AM$2&gt;Input_Tidshorisont,BlankTegn,IF(AM$2=0,SUM(Materialedata[[#This Row],[A1-A3/m²]:[A4/m²]]),
AL48+IF(AM$2=Input_Tidshorisont,SUM(Materialedata[[#This Row],[C3/m²]:[C4/m²]]),IF(MOD(AM$2,Materialedata[[#This Row],[Levetid]])=0,SUM(Materialedata[[#This Row],[A1-A3/m²]:[C4/m²]]),0))
))</f>
        <v>0</v>
      </c>
      <c r="AN48" s="141">
        <f>IF(AN$2&gt;Input_Tidshorisont,BlankTegn,IF(AN$2=0,SUM(Materialedata[[#This Row],[A1-A3/m²]:[A4/m²]]),
AM48+IF(AN$2=Input_Tidshorisont,SUM(Materialedata[[#This Row],[C3/m²]:[C4/m²]]),IF(MOD(AN$2,Materialedata[[#This Row],[Levetid]])=0,SUM(Materialedata[[#This Row],[A1-A3/m²]:[C4/m²]]),0))
))</f>
        <v>0</v>
      </c>
      <c r="AO48" s="141">
        <f>IF(AO$2&gt;Input_Tidshorisont,BlankTegn,IF(AO$2=0,SUM(Materialedata[[#This Row],[A1-A3/m²]:[A4/m²]]),
AN48+IF(AO$2=Input_Tidshorisont,SUM(Materialedata[[#This Row],[C3/m²]:[C4/m²]]),IF(MOD(AO$2,Materialedata[[#This Row],[Levetid]])=0,SUM(Materialedata[[#This Row],[A1-A3/m²]:[C4/m²]]),0))
))</f>
        <v>0</v>
      </c>
      <c r="AP48" s="141">
        <f>IF(AP$2&gt;Input_Tidshorisont,BlankTegn,IF(AP$2=0,SUM(Materialedata[[#This Row],[A1-A3/m²]:[A4/m²]]),
AO48+IF(AP$2=Input_Tidshorisont,SUM(Materialedata[[#This Row],[C3/m²]:[C4/m²]]),IF(MOD(AP$2,Materialedata[[#This Row],[Levetid]])=0,SUM(Materialedata[[#This Row],[A1-A3/m²]:[C4/m²]]),0))
))</f>
        <v>0</v>
      </c>
      <c r="AQ48" s="141">
        <f>IF(AQ$2&gt;Input_Tidshorisont,BlankTegn,IF(AQ$2=0,SUM(Materialedata[[#This Row],[A1-A3/m²]:[A4/m²]]),
AP48+IF(AQ$2=Input_Tidshorisont,SUM(Materialedata[[#This Row],[C3/m²]:[C4/m²]]),IF(MOD(AQ$2,Materialedata[[#This Row],[Levetid]])=0,SUM(Materialedata[[#This Row],[A1-A3/m²]:[C4/m²]]),0))
))</f>
        <v>0</v>
      </c>
      <c r="AR48" s="141">
        <f>IF(AR$2&gt;Input_Tidshorisont,BlankTegn,IF(AR$2=0,SUM(Materialedata[[#This Row],[A1-A3/m²]:[A4/m²]]),
AQ48+IF(AR$2=Input_Tidshorisont,SUM(Materialedata[[#This Row],[C3/m²]:[C4/m²]]),IF(MOD(AR$2,Materialedata[[#This Row],[Levetid]])=0,SUM(Materialedata[[#This Row],[A1-A3/m²]:[C4/m²]]),0))
))</f>
        <v>0</v>
      </c>
      <c r="AS48" s="141">
        <f>IF(AS$2&gt;Input_Tidshorisont,BlankTegn,IF(AS$2=0,SUM(Materialedata[[#This Row],[A1-A3/m²]:[A4/m²]]),
AR48+IF(AS$2=Input_Tidshorisont,SUM(Materialedata[[#This Row],[C3/m²]:[C4/m²]]),IF(MOD(AS$2,Materialedata[[#This Row],[Levetid]])=0,SUM(Materialedata[[#This Row],[A1-A3/m²]:[C4/m²]]),0))
))</f>
        <v>0</v>
      </c>
      <c r="AT48" s="141">
        <f>IF(AT$2&gt;Input_Tidshorisont,BlankTegn,IF(AT$2=0,SUM(Materialedata[[#This Row],[A1-A3/m²]:[A4/m²]]),
AS48+IF(AT$2=Input_Tidshorisont,SUM(Materialedata[[#This Row],[C3/m²]:[C4/m²]]),IF(MOD(AT$2,Materialedata[[#This Row],[Levetid]])=0,SUM(Materialedata[[#This Row],[A1-A3/m²]:[C4/m²]]),0))
))</f>
        <v>0</v>
      </c>
      <c r="AU48" s="141">
        <f>IF(AU$2&gt;Input_Tidshorisont,BlankTegn,IF(AU$2=0,SUM(Materialedata[[#This Row],[A1-A3/m²]:[A4/m²]]),
AT48+IF(AU$2=Input_Tidshorisont,SUM(Materialedata[[#This Row],[C3/m²]:[C4/m²]]),IF(MOD(AU$2,Materialedata[[#This Row],[Levetid]])=0,SUM(Materialedata[[#This Row],[A1-A3/m²]:[C4/m²]]),0))
))</f>
        <v>0</v>
      </c>
      <c r="AV48" s="141">
        <f>IF(AV$2&gt;Input_Tidshorisont,BlankTegn,IF(AV$2=0,SUM(Materialedata[[#This Row],[A1-A3/m²]:[A4/m²]]),
AU48+IF(AV$2=Input_Tidshorisont,SUM(Materialedata[[#This Row],[C3/m²]:[C4/m²]]),IF(MOD(AV$2,Materialedata[[#This Row],[Levetid]])=0,SUM(Materialedata[[#This Row],[A1-A3/m²]:[C4/m²]]),0))
))</f>
        <v>0</v>
      </c>
      <c r="AW48" s="141">
        <f>IF(AW$2&gt;Input_Tidshorisont,BlankTegn,IF(AW$2=0,SUM(Materialedata[[#This Row],[A1-A3/m²]:[A4/m²]]),
AV48+IF(AW$2=Input_Tidshorisont,SUM(Materialedata[[#This Row],[C3/m²]:[C4/m²]]),IF(MOD(AW$2,Materialedata[[#This Row],[Levetid]])=0,SUM(Materialedata[[#This Row],[A1-A3/m²]:[C4/m²]]),0))
))</f>
        <v>0</v>
      </c>
      <c r="AX48" s="141">
        <f>IF(AX$2&gt;Input_Tidshorisont,BlankTegn,IF(AX$2=0,SUM(Materialedata[[#This Row],[A1-A3/m²]:[A4/m²]]),
AW48+IF(AX$2=Input_Tidshorisont,SUM(Materialedata[[#This Row],[C3/m²]:[C4/m²]]),IF(MOD(AX$2,Materialedata[[#This Row],[Levetid]])=0,SUM(Materialedata[[#This Row],[A1-A3/m²]:[C4/m²]]),0))
))</f>
        <v>0</v>
      </c>
      <c r="AY48" s="141">
        <f>IF(AY$2&gt;Input_Tidshorisont,BlankTegn,IF(AY$2=0,SUM(Materialedata[[#This Row],[A1-A3/m²]:[A4/m²]]),
AX48+IF(AY$2=Input_Tidshorisont,SUM(Materialedata[[#This Row],[C3/m²]:[C4/m²]]),IF(MOD(AY$2,Materialedata[[#This Row],[Levetid]])=0,SUM(Materialedata[[#This Row],[A1-A3/m²]:[C4/m²]]),0))
))</f>
        <v>0</v>
      </c>
      <c r="AZ48" s="141">
        <f>IF(AZ$2&gt;Input_Tidshorisont,BlankTegn,IF(AZ$2=0,SUM(Materialedata[[#This Row],[A1-A3/m²]:[A4/m²]]),
AY48+IF(AZ$2=Input_Tidshorisont,SUM(Materialedata[[#This Row],[C3/m²]:[C4/m²]]),IF(MOD(AZ$2,Materialedata[[#This Row],[Levetid]])=0,SUM(Materialedata[[#This Row],[A1-A3/m²]:[C4/m²]]),0))
))</f>
        <v>0</v>
      </c>
      <c r="BA48" s="141">
        <f>IF(BA$2&gt;Input_Tidshorisont,BlankTegn,IF(BA$2=0,SUM(Materialedata[[#This Row],[A1-A3/m²]:[A4/m²]]),
AZ48+IF(BA$2=Input_Tidshorisont,SUM(Materialedata[[#This Row],[C3/m²]:[C4/m²]]),IF(MOD(BA$2,Materialedata[[#This Row],[Levetid]])=0,SUM(Materialedata[[#This Row],[A1-A3/m²]:[C4/m²]]),0))
))</f>
        <v>0</v>
      </c>
      <c r="BB48" s="141">
        <f>IF(BB$2&gt;Input_Tidshorisont,BlankTegn,IF(BB$2=0,SUM(Materialedata[[#This Row],[A1-A3/m²]:[A4/m²]]),
BA48+IF(BB$2=Input_Tidshorisont,SUM(Materialedata[[#This Row],[C3/m²]:[C4/m²]]),IF(MOD(BB$2,Materialedata[[#This Row],[Levetid]])=0,SUM(Materialedata[[#This Row],[A1-A3/m²]:[C4/m²]]),0))
))</f>
        <v>0</v>
      </c>
      <c r="BC48" s="141">
        <f>IF(BC$2&gt;Input_Tidshorisont,BlankTegn,IF(BC$2=0,SUM(Materialedata[[#This Row],[A1-A3/m²]:[A4/m²]]),
BB48+IF(BC$2=Input_Tidshorisont,SUM(Materialedata[[#This Row],[C3/m²]:[C4/m²]]),IF(MOD(BC$2,Materialedata[[#This Row],[Levetid]])=0,SUM(Materialedata[[#This Row],[A1-A3/m²]:[C4/m²]]),0))
))</f>
        <v>0</v>
      </c>
      <c r="BD48" s="141">
        <f>IF(BD$2&gt;Input_Tidshorisont,BlankTegn,IF(BD$2=0,SUM(Materialedata[[#This Row],[A1-A3/m²]:[A4/m²]]),
BC48+IF(BD$2=Input_Tidshorisont,SUM(Materialedata[[#This Row],[C3/m²]:[C4/m²]]),IF(MOD(BD$2,Materialedata[[#This Row],[Levetid]])=0,SUM(Materialedata[[#This Row],[A1-A3/m²]:[C4/m²]]),0))
))</f>
        <v>0</v>
      </c>
      <c r="BE48" s="141">
        <f>IF(BE$2&gt;Input_Tidshorisont,BlankTegn,IF(BE$2=0,SUM(Materialedata[[#This Row],[A1-A3/m²]:[A4/m²]]),
BD48+IF(BE$2=Input_Tidshorisont,SUM(Materialedata[[#This Row],[C3/m²]:[C4/m²]]),IF(MOD(BE$2,Materialedata[[#This Row],[Levetid]])=0,SUM(Materialedata[[#This Row],[A1-A3/m²]:[C4/m²]]),0))
))</f>
        <v>0</v>
      </c>
      <c r="BF48" s="141">
        <f>IF(BF$2&gt;Input_Tidshorisont,BlankTegn,IF(BF$2=0,SUM(Materialedata[[#This Row],[A1-A3/m²]:[A4/m²]]),
BE48+IF(BF$2=Input_Tidshorisont,SUM(Materialedata[[#This Row],[C3/m²]:[C4/m²]]),IF(MOD(BF$2,Materialedata[[#This Row],[Levetid]])=0,SUM(Materialedata[[#This Row],[A1-A3/m²]:[C4/m²]]),0))
))</f>
        <v>0</v>
      </c>
      <c r="BG48" s="141">
        <f>IF(BG$2&gt;Input_Tidshorisont,BlankTegn,IF(BG$2=0,SUM(Materialedata[[#This Row],[A1-A3/m²]:[A4/m²]]),
BF48+IF(BG$2=Input_Tidshorisont,SUM(Materialedata[[#This Row],[C3/m²]:[C4/m²]]),IF(MOD(BG$2,Materialedata[[#This Row],[Levetid]])=0,SUM(Materialedata[[#This Row],[A1-A3/m²]:[C4/m²]]),0))
))</f>
        <v>0</v>
      </c>
      <c r="BH48" s="141">
        <f>IF(BH$2&gt;Input_Tidshorisont,BlankTegn,IF(BH$2=0,SUM(Materialedata[[#This Row],[A1-A3/m²]:[A4/m²]]),
BG48+IF(BH$2=Input_Tidshorisont,SUM(Materialedata[[#This Row],[C3/m²]:[C4/m²]]),IF(MOD(BH$2,Materialedata[[#This Row],[Levetid]])=0,SUM(Materialedata[[#This Row],[A1-A3/m²]:[C4/m²]]),0))
))</f>
        <v>0</v>
      </c>
      <c r="BI48" s="141">
        <f>IF(BI$2&gt;Input_Tidshorisont,BlankTegn,IF(BI$2=0,SUM(Materialedata[[#This Row],[A1-A3/m²]:[A4/m²]]),
BH48+IF(BI$2=Input_Tidshorisont,SUM(Materialedata[[#This Row],[C3/m²]:[C4/m²]]),IF(MOD(BI$2,Materialedata[[#This Row],[Levetid]])=0,SUM(Materialedata[[#This Row],[A1-A3/m²]:[C4/m²]]),0))
))</f>
        <v>0</v>
      </c>
      <c r="BJ48" s="141">
        <f>IF(BJ$2&gt;Input_Tidshorisont,BlankTegn,IF(BJ$2=0,SUM(Materialedata[[#This Row],[A1-A3/m²]:[A4/m²]]),
BI48+IF(BJ$2=Input_Tidshorisont,SUM(Materialedata[[#This Row],[C3/m²]:[C4/m²]]),IF(MOD(BJ$2,Materialedata[[#This Row],[Levetid]])=0,SUM(Materialedata[[#This Row],[A1-A3/m²]:[C4/m²]]),0))
))</f>
        <v>0</v>
      </c>
      <c r="BK48" s="141">
        <f>IF(BK$2&gt;Input_Tidshorisont,BlankTegn,IF(BK$2=0,SUM(Materialedata[[#This Row],[A1-A3/m²]:[A4/m²]]),
BJ48+IF(BK$2=Input_Tidshorisont,SUM(Materialedata[[#This Row],[C3/m²]:[C4/m²]]),IF(MOD(BK$2,Materialedata[[#This Row],[Levetid]])=0,SUM(Materialedata[[#This Row],[A1-A3/m²]:[C4/m²]]),0))
))</f>
        <v>0</v>
      </c>
      <c r="BL48" s="141">
        <f>IF(BL$2&gt;Input_Tidshorisont,BlankTegn,IF(BL$2=0,SUM(Materialedata[[#This Row],[A1-A3/m²]:[A4/m²]]),
BK48+IF(BL$2=Input_Tidshorisont,SUM(Materialedata[[#This Row],[C3/m²]:[C4/m²]]),IF(MOD(BL$2,Materialedata[[#This Row],[Levetid]])=0,SUM(Materialedata[[#This Row],[A1-A3/m²]:[C4/m²]]),0))
))</f>
        <v>0</v>
      </c>
      <c r="BM48" s="141">
        <f>IF(BM$2&gt;Input_Tidshorisont,BlankTegn,IF(BM$2=0,SUM(Materialedata[[#This Row],[A1-A3/m²]:[A4/m²]]),
BL48+IF(BM$2=Input_Tidshorisont,SUM(Materialedata[[#This Row],[C3/m²]:[C4/m²]]),IF(MOD(BM$2,Materialedata[[#This Row],[Levetid]])=0,SUM(Materialedata[[#This Row],[A1-A3/m²]:[C4/m²]]),0))
))</f>
        <v>0</v>
      </c>
      <c r="BN48" s="141">
        <f>IF(BN$2&gt;Input_Tidshorisont,BlankTegn,IF(BN$2=0,SUM(Materialedata[[#This Row],[A1-A3/m²]:[A4/m²]]),
BM48+IF(BN$2=Input_Tidshorisont,SUM(Materialedata[[#This Row],[C3/m²]:[C4/m²]]),IF(MOD(BN$2,Materialedata[[#This Row],[Levetid]])=0,SUM(Materialedata[[#This Row],[A1-A3/m²]:[C4/m²]]),0))
))</f>
        <v>0</v>
      </c>
      <c r="BO48" s="141">
        <f>IF(BO$2&gt;Input_Tidshorisont,BlankTegn,IF(BO$2=0,SUM(Materialedata[[#This Row],[A1-A3/m²]:[A4/m²]]),
BN48+IF(BO$2=Input_Tidshorisont,SUM(Materialedata[[#This Row],[C3/m²]:[C4/m²]]),IF(MOD(BO$2,Materialedata[[#This Row],[Levetid]])=0,SUM(Materialedata[[#This Row],[A1-A3/m²]:[C4/m²]]),0))
))</f>
        <v>0</v>
      </c>
      <c r="BP48" s="141">
        <f>IF(BP$2&gt;Input_Tidshorisont,BlankTegn,IF(BP$2=0,SUM(Materialedata[[#This Row],[A1-A3/m²]:[A4/m²]]),
BO48+IF(BP$2=Input_Tidshorisont,SUM(Materialedata[[#This Row],[C3/m²]:[C4/m²]]),IF(MOD(BP$2,Materialedata[[#This Row],[Levetid]])=0,SUM(Materialedata[[#This Row],[A1-A3/m²]:[C4/m²]]),0))
))</f>
        <v>0</v>
      </c>
      <c r="BQ48" s="141">
        <f>IF(BQ$2&gt;Input_Tidshorisont,BlankTegn,IF(BQ$2=0,SUM(Materialedata[[#This Row],[A1-A3/m²]:[A4/m²]]),
BP48+IF(BQ$2=Input_Tidshorisont,SUM(Materialedata[[#This Row],[C3/m²]:[C4/m²]]),IF(MOD(BQ$2,Materialedata[[#This Row],[Levetid]])=0,SUM(Materialedata[[#This Row],[A1-A3/m²]:[C4/m²]]),0))
))</f>
        <v>0</v>
      </c>
      <c r="BR48" s="141">
        <f>IF(BR$2&gt;Input_Tidshorisont,BlankTegn,IF(BR$2=0,SUM(Materialedata[[#This Row],[A1-A3/m²]:[A4/m²]]),
BQ48+IF(BR$2=Input_Tidshorisont,SUM(Materialedata[[#This Row],[C3/m²]:[C4/m²]]),IF(MOD(BR$2,Materialedata[[#This Row],[Levetid]])=0,SUM(Materialedata[[#This Row],[A1-A3/m²]:[C4/m²]]),0))
))</f>
        <v>0</v>
      </c>
      <c r="BS48" s="141">
        <f>IF(BS$2&gt;Input_Tidshorisont,BlankTegn,IF(BS$2=0,SUM(Materialedata[[#This Row],[A1-A3/m²]:[A4/m²]]),
BR48+IF(BS$2=Input_Tidshorisont,SUM(Materialedata[[#This Row],[C3/m²]:[C4/m²]]),IF(MOD(BS$2,Materialedata[[#This Row],[Levetid]])=0,SUM(Materialedata[[#This Row],[A1-A3/m²]:[C4/m²]]),0))
))</f>
        <v>0</v>
      </c>
      <c r="BT48" s="141">
        <f>IF(BT$2&gt;Input_Tidshorisont,BlankTegn,IF(BT$2=0,SUM(Materialedata[[#This Row],[A1-A3/m²]:[A4/m²]]),
BS48+IF(BT$2=Input_Tidshorisont,SUM(Materialedata[[#This Row],[C3/m²]:[C4/m²]]),IF(MOD(BT$2,Materialedata[[#This Row],[Levetid]])=0,SUM(Materialedata[[#This Row],[A1-A3/m²]:[C4/m²]]),0))
))</f>
        <v>0</v>
      </c>
      <c r="BU48" s="141">
        <f>IF(BU$2&gt;Input_Tidshorisont,BlankTegn,IF(BU$2=0,SUM(Materialedata[[#This Row],[A1-A3/m²]:[A4/m²]]),
BT48+IF(BU$2=Input_Tidshorisont,SUM(Materialedata[[#This Row],[C3/m²]:[C4/m²]]),IF(MOD(BU$2,Materialedata[[#This Row],[Levetid]])=0,SUM(Materialedata[[#This Row],[A1-A3/m²]:[C4/m²]]),0))
))</f>
        <v>0</v>
      </c>
      <c r="BV48" s="141">
        <f>IF(BV$2&gt;Input_Tidshorisont,BlankTegn,IF(BV$2=0,SUM(Materialedata[[#This Row],[A1-A3/m²]:[A4/m²]]),
BU48+IF(BV$2=Input_Tidshorisont,SUM(Materialedata[[#This Row],[C3/m²]:[C4/m²]]),IF(MOD(BV$2,Materialedata[[#This Row],[Levetid]])=0,SUM(Materialedata[[#This Row],[A1-A3/m²]:[C4/m²]]),0))
))</f>
        <v>0</v>
      </c>
      <c r="BW48" s="141">
        <f>IF(BW$2&gt;Input_Tidshorisont,BlankTegn,IF(BW$2=0,SUM(Materialedata[[#This Row],[A1-A3/m²]:[A4/m²]]),
BV48+IF(BW$2=Input_Tidshorisont,SUM(Materialedata[[#This Row],[C3/m²]:[C4/m²]]),IF(MOD(BW$2,Materialedata[[#This Row],[Levetid]])=0,SUM(Materialedata[[#This Row],[A1-A3/m²]:[C4/m²]]),0))
))</f>
        <v>0</v>
      </c>
      <c r="BX48" s="141">
        <f>IF(BX$2&gt;Input_Tidshorisont,BlankTegn,IF(BX$2=0,SUM(Materialedata[[#This Row],[A1-A3/m²]:[A4/m²]]),
BW48+IF(BX$2=Input_Tidshorisont,SUM(Materialedata[[#This Row],[C3/m²]:[C4/m²]]),IF(MOD(BX$2,Materialedata[[#This Row],[Levetid]])=0,SUM(Materialedata[[#This Row],[A1-A3/m²]:[C4/m²]]),0))
))</f>
        <v>0</v>
      </c>
      <c r="BY48" s="141">
        <f>IF(BY$2&gt;Input_Tidshorisont,BlankTegn,IF(BY$2=0,SUM(Materialedata[[#This Row],[A1-A3/m²]:[A4/m²]]),
BX48+IF(BY$2=Input_Tidshorisont,SUM(Materialedata[[#This Row],[C3/m²]:[C4/m²]]),IF(MOD(BY$2,Materialedata[[#This Row],[Levetid]])=0,SUM(Materialedata[[#This Row],[A1-A3/m²]:[C4/m²]]),0))
))</f>
        <v>0</v>
      </c>
      <c r="BZ48" s="141">
        <f>IF(BZ$2&gt;Input_Tidshorisont,BlankTegn,IF(BZ$2=0,SUM(Materialedata[[#This Row],[A1-A3/m²]:[A4/m²]]),
BY48+IF(BZ$2=Input_Tidshorisont,SUM(Materialedata[[#This Row],[C3/m²]:[C4/m²]]),IF(MOD(BZ$2,Materialedata[[#This Row],[Levetid]])=0,SUM(Materialedata[[#This Row],[A1-A3/m²]:[C4/m²]]),0))
))</f>
        <v>0</v>
      </c>
      <c r="CA48" s="141">
        <f>IF(CA$2&gt;Input_Tidshorisont,BlankTegn,IF(CA$2=0,SUM(Materialedata[[#This Row],[A1-A3/m²]:[A4/m²]]),
BZ48+IF(CA$2=Input_Tidshorisont,SUM(Materialedata[[#This Row],[C3/m²]:[C4/m²]]),IF(MOD(CA$2,Materialedata[[#This Row],[Levetid]])=0,SUM(Materialedata[[#This Row],[A1-A3/m²]:[C4/m²]]),0))
))</f>
        <v>0</v>
      </c>
      <c r="CB48" s="141">
        <f>IF(CB$2&gt;Input_Tidshorisont,BlankTegn,IF(CB$2=0,SUM(Materialedata[[#This Row],[A1-A3/m²]:[A4/m²]]),
CA48+IF(CB$2=Input_Tidshorisont,SUM(Materialedata[[#This Row],[C3/m²]:[C4/m²]]),IF(MOD(CB$2,Materialedata[[#This Row],[Levetid]])=0,SUM(Materialedata[[#This Row],[A1-A3/m²]:[C4/m²]]),0))
))</f>
        <v>0</v>
      </c>
      <c r="CC48" s="141">
        <f>IF(CC$2&gt;Input_Tidshorisont,BlankTegn,IF(CC$2=0,SUM(Materialedata[[#This Row],[A1-A3/m²]:[A4/m²]]),
CB48+IF(CC$2=Input_Tidshorisont,SUM(Materialedata[[#This Row],[C3/m²]:[C4/m²]]),IF(MOD(CC$2,Materialedata[[#This Row],[Levetid]])=0,SUM(Materialedata[[#This Row],[A1-A3/m²]:[C4/m²]]),0))
))</f>
        <v>0</v>
      </c>
      <c r="CD48" s="141">
        <f>IF(CD$2&gt;Input_Tidshorisont,BlankTegn,IF(CD$2=0,SUM(Materialedata[[#This Row],[A1-A3/m²]:[A4/m²]]),
CC48+IF(CD$2=Input_Tidshorisont,SUM(Materialedata[[#This Row],[C3/m²]:[C4/m²]]),IF(MOD(CD$2,Materialedata[[#This Row],[Levetid]])=0,SUM(Materialedata[[#This Row],[A1-A3/m²]:[C4/m²]]),0))
))</f>
        <v>0</v>
      </c>
      <c r="CE48" s="141">
        <f>IF(CE$2&gt;Input_Tidshorisont,BlankTegn,IF(CE$2=0,SUM(Materialedata[[#This Row],[A1-A3/m²]:[A4/m²]]),
CD48+IF(CE$2=Input_Tidshorisont,SUM(Materialedata[[#This Row],[C3/m²]:[C4/m²]]),IF(MOD(CE$2,Materialedata[[#This Row],[Levetid]])=0,SUM(Materialedata[[#This Row],[A1-A3/m²]:[C4/m²]]),0))
))</f>
        <v>0</v>
      </c>
      <c r="CF48" s="141">
        <f>IF(CF$2&gt;Input_Tidshorisont,BlankTegn,IF(CF$2=0,SUM(Materialedata[[#This Row],[A1-A3/m²]:[A4/m²]]),
CE48+IF(CF$2=Input_Tidshorisont,SUM(Materialedata[[#This Row],[C3/m²]:[C4/m²]]),IF(MOD(CF$2,Materialedata[[#This Row],[Levetid]])=0,SUM(Materialedata[[#This Row],[A1-A3/m²]:[C4/m²]]),0))
))</f>
        <v>0</v>
      </c>
      <c r="CG48" s="141">
        <f>IF(CG$2&gt;Input_Tidshorisont,BlankTegn,IF(CG$2=0,SUM(Materialedata[[#This Row],[A1-A3/m²]:[A4/m²]]),
CF48+IF(CG$2=Input_Tidshorisont,SUM(Materialedata[[#This Row],[C3/m²]:[C4/m²]]),IF(MOD(CG$2,Materialedata[[#This Row],[Levetid]])=0,SUM(Materialedata[[#This Row],[A1-A3/m²]:[C4/m²]]),0))
))</f>
        <v>0</v>
      </c>
      <c r="CH48" s="141">
        <f>IF(CH$2&gt;Input_Tidshorisont,BlankTegn,IF(CH$2=0,SUM(Materialedata[[#This Row],[A1-A3/m²]:[A4/m²]]),
CG48+IF(CH$2=Input_Tidshorisont,SUM(Materialedata[[#This Row],[C3/m²]:[C4/m²]]),IF(MOD(CH$2,Materialedata[[#This Row],[Levetid]])=0,SUM(Materialedata[[#This Row],[A1-A3/m²]:[C4/m²]]),0))
))</f>
        <v>0</v>
      </c>
      <c r="CI48" s="141" t="str">
        <f>IF(CI$2&gt;Input_Tidshorisont,BlankTegn,IF(CI$2=0,SUM(Materialedata[[#This Row],[A1-A3/m²]:[A4/m²]]),
CH48+IF(CI$2=Input_Tidshorisont,SUM(Materialedata[[#This Row],[C3/m²]:[C4/m²]]),IF(MOD(CI$2,Materialedata[[#This Row],[Levetid]])=0,SUM(Materialedata[[#This Row],[A1-A3/m²]:[C4/m²]]),0))
))</f>
        <v>.</v>
      </c>
      <c r="CJ48" s="141" t="str">
        <f>IF(CJ$2&gt;Input_Tidshorisont,BlankTegn,IF(CJ$2=0,SUM(Materialedata[[#This Row],[A1-A3/m²]:[A4/m²]]),
CI48+IF(CJ$2=Input_Tidshorisont,SUM(Materialedata[[#This Row],[C3/m²]:[C4/m²]]),IF(MOD(CJ$2,Materialedata[[#This Row],[Levetid]])=0,SUM(Materialedata[[#This Row],[A1-A3/m²]:[C4/m²]]),0))
))</f>
        <v>.</v>
      </c>
      <c r="CK48" s="141" t="str">
        <f>IF(CK$2&gt;Input_Tidshorisont,BlankTegn,IF(CK$2=0,SUM(Materialedata[[#This Row],[A1-A3/m²]:[A4/m²]]),
CJ48+IF(CK$2=Input_Tidshorisont,SUM(Materialedata[[#This Row],[C3/m²]:[C4/m²]]),IF(MOD(CK$2,Materialedata[[#This Row],[Levetid]])=0,SUM(Materialedata[[#This Row],[A1-A3/m²]:[C4/m²]]),0))
))</f>
        <v>.</v>
      </c>
      <c r="CL48" s="141" t="str">
        <f>IF(CL$2&gt;Input_Tidshorisont,BlankTegn,IF(CL$2=0,SUM(Materialedata[[#This Row],[A1-A3/m²]:[A4/m²]]),
CK48+IF(CL$2=Input_Tidshorisont,SUM(Materialedata[[#This Row],[C3/m²]:[C4/m²]]),IF(MOD(CL$2,Materialedata[[#This Row],[Levetid]])=0,SUM(Materialedata[[#This Row],[A1-A3/m²]:[C4/m²]]),0))
))</f>
        <v>.</v>
      </c>
      <c r="CM48" s="141" t="str">
        <f>IF(CM$2&gt;Input_Tidshorisont,BlankTegn,IF(CM$2=0,SUM(Materialedata[[#This Row],[A1-A3/m²]:[A4/m²]]),
CL48+IF(CM$2=Input_Tidshorisont,SUM(Materialedata[[#This Row],[C3/m²]:[C4/m²]]),IF(MOD(CM$2,Materialedata[[#This Row],[Levetid]])=0,SUM(Materialedata[[#This Row],[A1-A3/m²]:[C4/m²]]),0))
))</f>
        <v>.</v>
      </c>
      <c r="CN48" s="141" t="str">
        <f>IF(CN$2&gt;Input_Tidshorisont,BlankTegn,IF(CN$2=0,SUM(Materialedata[[#This Row],[A1-A3/m²]:[A4/m²]]),
CM48+IF(CN$2=Input_Tidshorisont,SUM(Materialedata[[#This Row],[C3/m²]:[C4/m²]]),IF(MOD(CN$2,Materialedata[[#This Row],[Levetid]])=0,SUM(Materialedata[[#This Row],[A1-A3/m²]:[C4/m²]]),0))
))</f>
        <v>.</v>
      </c>
      <c r="CO48" s="141" t="str">
        <f>IF(CO$2&gt;Input_Tidshorisont,BlankTegn,IF(CO$2=0,SUM(Materialedata[[#This Row],[A1-A3/m²]:[A4/m²]]),
CN48+IF(CO$2=Input_Tidshorisont,SUM(Materialedata[[#This Row],[C3/m²]:[C4/m²]]),IF(MOD(CO$2,Materialedata[[#This Row],[Levetid]])=0,SUM(Materialedata[[#This Row],[A1-A3/m²]:[C4/m²]]),0))
))</f>
        <v>.</v>
      </c>
      <c r="CP48" s="141" t="str">
        <f>IF(CP$2&gt;Input_Tidshorisont,BlankTegn,IF(CP$2=0,SUM(Materialedata[[#This Row],[A1-A3/m²]:[A4/m²]]),
CO48+IF(CP$2=Input_Tidshorisont,SUM(Materialedata[[#This Row],[C3/m²]:[C4/m²]]),IF(MOD(CP$2,Materialedata[[#This Row],[Levetid]])=0,SUM(Materialedata[[#This Row],[A1-A3/m²]:[C4/m²]]),0))
))</f>
        <v>.</v>
      </c>
      <c r="CQ48" s="141" t="str">
        <f>IF(CQ$2&gt;Input_Tidshorisont,BlankTegn,IF(CQ$2=0,SUM(Materialedata[[#This Row],[A1-A3/m²]:[A4/m²]]),
CP48+IF(CQ$2=Input_Tidshorisont,SUM(Materialedata[[#This Row],[C3/m²]:[C4/m²]]),IF(MOD(CQ$2,Materialedata[[#This Row],[Levetid]])=0,SUM(Materialedata[[#This Row],[A1-A3/m²]:[C4/m²]]),0))
))</f>
        <v>.</v>
      </c>
      <c r="CR48" s="141" t="str">
        <f>IF(CR$2&gt;Input_Tidshorisont,BlankTegn,IF(CR$2=0,SUM(Materialedata[[#This Row],[A1-A3/m²]:[A4/m²]]),
CQ48+IF(CR$2=Input_Tidshorisont,SUM(Materialedata[[#This Row],[C3/m²]:[C4/m²]]),IF(MOD(CR$2,Materialedata[[#This Row],[Levetid]])=0,SUM(Materialedata[[#This Row],[A1-A3/m²]:[C4/m²]]),0))
))</f>
        <v>.</v>
      </c>
      <c r="CS48" s="141" t="str">
        <f>IF(CS$2&gt;Input_Tidshorisont,BlankTegn,IF(CS$2=0,SUM(Materialedata[[#This Row],[A1-A3/m²]:[A4/m²]]),
CR48+IF(CS$2=Input_Tidshorisont,SUM(Materialedata[[#This Row],[C3/m²]:[C4/m²]]),IF(MOD(CS$2,Materialedata[[#This Row],[Levetid]])=0,SUM(Materialedata[[#This Row],[A1-A3/m²]:[C4/m²]]),0))
))</f>
        <v>.</v>
      </c>
      <c r="CT48" s="141" t="str">
        <f>IF(CT$2&gt;Input_Tidshorisont,BlankTegn,IF(CT$2=0,SUM(Materialedata[[#This Row],[A1-A3/m²]:[A4/m²]]),
CS48+IF(CT$2=Input_Tidshorisont,SUM(Materialedata[[#This Row],[C3/m²]:[C4/m²]]),IF(MOD(CT$2,Materialedata[[#This Row],[Levetid]])=0,SUM(Materialedata[[#This Row],[A1-A3/m²]:[C4/m²]]),0))
))</f>
        <v>.</v>
      </c>
      <c r="CU48" s="141" t="str">
        <f>IF(CU$2&gt;Input_Tidshorisont,BlankTegn,IF(CU$2=0,SUM(Materialedata[[#This Row],[A1-A3/m²]:[A4/m²]]),
CT48+IF(CU$2=Input_Tidshorisont,SUM(Materialedata[[#This Row],[C3/m²]:[C4/m²]]),IF(MOD(CU$2,Materialedata[[#This Row],[Levetid]])=0,SUM(Materialedata[[#This Row],[A1-A3/m²]:[C4/m²]]),0))
))</f>
        <v>.</v>
      </c>
      <c r="CV48" s="141" t="str">
        <f>IF(CV$2&gt;Input_Tidshorisont,BlankTegn,IF(CV$2=0,SUM(Materialedata[[#This Row],[A1-A3/m²]:[A4/m²]]),
CU48+IF(CV$2=Input_Tidshorisont,SUM(Materialedata[[#This Row],[C3/m²]:[C4/m²]]),IF(MOD(CV$2,Materialedata[[#This Row],[Levetid]])=0,SUM(Materialedata[[#This Row],[A1-A3/m²]:[C4/m²]]),0))
))</f>
        <v>.</v>
      </c>
      <c r="CW48" s="141" t="str">
        <f>IF(CW$2&gt;Input_Tidshorisont,BlankTegn,IF(CW$2=0,SUM(Materialedata[[#This Row],[A1-A3/m²]:[A4/m²]]),
CV48+IF(CW$2=Input_Tidshorisont,SUM(Materialedata[[#This Row],[C3/m²]:[C4/m²]]),IF(MOD(CW$2,Materialedata[[#This Row],[Levetid]])=0,SUM(Materialedata[[#This Row],[A1-A3/m²]:[C4/m²]]),0))
))</f>
        <v>.</v>
      </c>
      <c r="CX48" s="141" t="str">
        <f>IF(CX$2&gt;Input_Tidshorisont,BlankTegn,IF(CX$2=0,SUM(Materialedata[[#This Row],[A1-A3/m²]:[A4/m²]]),
CW48+IF(CX$2=Input_Tidshorisont,SUM(Materialedata[[#This Row],[C3/m²]:[C4/m²]]),IF(MOD(CX$2,Materialedata[[#This Row],[Levetid]])=0,SUM(Materialedata[[#This Row],[A1-A3/m²]:[C4/m²]]),0))
))</f>
        <v>.</v>
      </c>
      <c r="CY48" s="141" t="str">
        <f>IF(CY$2&gt;Input_Tidshorisont,BlankTegn,IF(CY$2=0,SUM(Materialedata[[#This Row],[A1-A3/m²]:[A4/m²]]),
CX48+IF(CY$2=Input_Tidshorisont,SUM(Materialedata[[#This Row],[C3/m²]:[C4/m²]]),IF(MOD(CY$2,Materialedata[[#This Row],[Levetid]])=0,SUM(Materialedata[[#This Row],[A1-A3/m²]:[C4/m²]]),0))
))</f>
        <v>.</v>
      </c>
      <c r="CZ48" s="141" t="str">
        <f>IF(CZ$2&gt;Input_Tidshorisont,BlankTegn,IF(CZ$2=0,SUM(Materialedata[[#This Row],[A1-A3/m²]:[A4/m²]]),
CY48+IF(CZ$2=Input_Tidshorisont,SUM(Materialedata[[#This Row],[C3/m²]:[C4/m²]]),IF(MOD(CZ$2,Materialedata[[#This Row],[Levetid]])=0,SUM(Materialedata[[#This Row],[A1-A3/m²]:[C4/m²]]),0))
))</f>
        <v>.</v>
      </c>
      <c r="DA48" s="141" t="str">
        <f>IF(DA$2&gt;Input_Tidshorisont,BlankTegn,IF(DA$2=0,SUM(Materialedata[[#This Row],[A1-A3/m²]:[A4/m²]]),
CZ48+IF(DA$2=Input_Tidshorisont,SUM(Materialedata[[#This Row],[C3/m²]:[C4/m²]]),IF(MOD(DA$2,Materialedata[[#This Row],[Levetid]])=0,SUM(Materialedata[[#This Row],[A1-A3/m²]:[C4/m²]]),0))
))</f>
        <v>.</v>
      </c>
      <c r="DB48" s="141" t="str">
        <f>IF(DB$2&gt;Input_Tidshorisont,BlankTegn,IF(DB$2=0,SUM(Materialedata[[#This Row],[A1-A3/m²]:[A4/m²]]),
DA48+IF(DB$2=Input_Tidshorisont,SUM(Materialedata[[#This Row],[C3/m²]:[C4/m²]]),IF(MOD(DB$2,Materialedata[[#This Row],[Levetid]])=0,SUM(Materialedata[[#This Row],[A1-A3/m²]:[C4/m²]]),0))
))</f>
        <v>.</v>
      </c>
      <c r="DC48" s="141" t="str">
        <f>IF(DC$2&gt;Input_Tidshorisont,BlankTegn,IF(DC$2=0,SUM(Materialedata[[#This Row],[A1-A3/m²]:[A4/m²]]),
DB48+IF(DC$2=Input_Tidshorisont,SUM(Materialedata[[#This Row],[C3/m²]:[C4/m²]]),IF(MOD(DC$2,Materialedata[[#This Row],[Levetid]])=0,SUM(Materialedata[[#This Row],[A1-A3/m²]:[C4/m²]]),0))
))</f>
        <v>.</v>
      </c>
      <c r="DD48" s="141" t="str">
        <f>IF(DD$2&gt;Input_Tidshorisont,BlankTegn,IF(DD$2=0,SUM(Materialedata[[#This Row],[A1-A3/m²]:[A4/m²]]),
DC48+IF(DD$2=Input_Tidshorisont,SUM(Materialedata[[#This Row],[C3/m²]:[C4/m²]]),IF(MOD(DD$2,Materialedata[[#This Row],[Levetid]])=0,SUM(Materialedata[[#This Row],[A1-A3/m²]:[C4/m²]]),0))
))</f>
        <v>.</v>
      </c>
      <c r="DE48" s="141" t="str">
        <f>IF(DE$2&gt;Input_Tidshorisont,BlankTegn,IF(DE$2=0,SUM(Materialedata[[#This Row],[A1-A3/m²]:[A4/m²]]),
DD48+IF(DE$2=Input_Tidshorisont,SUM(Materialedata[[#This Row],[C3/m²]:[C4/m²]]),IF(MOD(DE$2,Materialedata[[#This Row],[Levetid]])=0,SUM(Materialedata[[#This Row],[A1-A3/m²]:[C4/m²]]),0))
))</f>
        <v>.</v>
      </c>
      <c r="DF48" s="141" t="str">
        <f>IF(DF$2&gt;Input_Tidshorisont,BlankTegn,IF(DF$2=0,SUM(Materialedata[[#This Row],[A1-A3/m²]:[A4/m²]]),
DE48+IF(DF$2=Input_Tidshorisont,SUM(Materialedata[[#This Row],[C3/m²]:[C4/m²]]),IF(MOD(DF$2,Materialedata[[#This Row],[Levetid]])=0,SUM(Materialedata[[#This Row],[A1-A3/m²]:[C4/m²]]),0))
))</f>
        <v>.</v>
      </c>
      <c r="DG48" s="141" t="str">
        <f>IF(DG$2&gt;Input_Tidshorisont,BlankTegn,IF(DG$2=0,SUM(Materialedata[[#This Row],[A1-A3/m²]:[A4/m²]]),
DF48+IF(DG$2=Input_Tidshorisont,SUM(Materialedata[[#This Row],[C3/m²]:[C4/m²]]),IF(MOD(DG$2,Materialedata[[#This Row],[Levetid]])=0,SUM(Materialedata[[#This Row],[A1-A3/m²]:[C4/m²]]),0))
))</f>
        <v>.</v>
      </c>
      <c r="DH48" s="141" t="str">
        <f>IF(DH$2&gt;Input_Tidshorisont,BlankTegn,IF(DH$2=0,SUM(Materialedata[[#This Row],[A1-A3/m²]:[A4/m²]]),
DG48+IF(DH$2=Input_Tidshorisont,SUM(Materialedata[[#This Row],[C3/m²]:[C4/m²]]),IF(MOD(DH$2,Materialedata[[#This Row],[Levetid]])=0,SUM(Materialedata[[#This Row],[A1-A3/m²]:[C4/m²]]),0))
))</f>
        <v>.</v>
      </c>
      <c r="DI48" s="141" t="str">
        <f>IF(DI$2&gt;Input_Tidshorisont,BlankTegn,IF(DI$2=0,SUM(Materialedata[[#This Row],[A1-A3/m²]:[A4/m²]]),
DH48+IF(DI$2=Input_Tidshorisont,SUM(Materialedata[[#This Row],[C3/m²]:[C4/m²]]),IF(MOD(DI$2,Materialedata[[#This Row],[Levetid]])=0,SUM(Materialedata[[#This Row],[A1-A3/m²]:[C4/m²]]),0))
))</f>
        <v>.</v>
      </c>
      <c r="DJ48" s="141" t="str">
        <f>IF(DJ$2&gt;Input_Tidshorisont,BlankTegn,IF(DJ$2=0,SUM(Materialedata[[#This Row],[A1-A3/m²]:[A4/m²]]),
DI48+IF(DJ$2=Input_Tidshorisont,SUM(Materialedata[[#This Row],[C3/m²]:[C4/m²]]),IF(MOD(DJ$2,Materialedata[[#This Row],[Levetid]])=0,SUM(Materialedata[[#This Row],[A1-A3/m²]:[C4/m²]]),0))
))</f>
        <v>.</v>
      </c>
      <c r="DK48" s="141" t="str">
        <f>IF(DK$2&gt;Input_Tidshorisont,BlankTegn,IF(DK$2=0,SUM(Materialedata[[#This Row],[A1-A3/m²]:[A4/m²]]),
DJ48+IF(DK$2=Input_Tidshorisont,SUM(Materialedata[[#This Row],[C3/m²]:[C4/m²]]),IF(MOD(DK$2,Materialedata[[#This Row],[Levetid]])=0,SUM(Materialedata[[#This Row],[A1-A3/m²]:[C4/m²]]),0))
))</f>
        <v>.</v>
      </c>
      <c r="DL48" s="141" t="str">
        <f>IF(DL$2&gt;Input_Tidshorisont,BlankTegn,IF(DL$2=0,SUM(Materialedata[[#This Row],[A1-A3/m²]:[A4/m²]]),
DK48+IF(DL$2=Input_Tidshorisont,SUM(Materialedata[[#This Row],[C3/m²]:[C4/m²]]),IF(MOD(DL$2,Materialedata[[#This Row],[Levetid]])=0,SUM(Materialedata[[#This Row],[A1-A3/m²]:[C4/m²]]),0))
))</f>
        <v>.</v>
      </c>
      <c r="DM48" s="19"/>
    </row>
    <row r="49" spans="1:117">
      <c r="A49" s="182" t="s">
        <v>284</v>
      </c>
      <c r="B49" s="182" t="s">
        <v>193</v>
      </c>
      <c r="C49" s="148" t="s">
        <v>139</v>
      </c>
      <c r="D49" s="196"/>
      <c r="E49" s="180" t="s">
        <v>194</v>
      </c>
      <c r="F49" s="182" t="s">
        <v>195</v>
      </c>
      <c r="G49" s="182">
        <v>12</v>
      </c>
      <c r="H49" s="183">
        <v>1345</v>
      </c>
      <c r="I49" s="184"/>
      <c r="J49" s="196"/>
      <c r="K49" s="182">
        <v>2.5099999999999998</v>
      </c>
      <c r="L49" s="182"/>
      <c r="M49" s="185" t="str">
        <f>IF(ISBLANK(Materialedata[[#This Row],[A4-gruppe]]),BlankTegn,INDEX(Byggeproces[GWP],MATCH(Materialedata[[#This Row],[A4-gruppe]],Byggeproces[Gruppe/Undergruppe],0)))</f>
        <v>.</v>
      </c>
      <c r="N49" s="182">
        <v>0.622</v>
      </c>
      <c r="O49" s="182">
        <v>0</v>
      </c>
      <c r="P49" s="182">
        <v>-0.32100000000000001</v>
      </c>
      <c r="Q49" s="277">
        <f>Materialedata[[#This Row],[A1-A3/standardenhed]]/8</f>
        <v>0.31374999999999997</v>
      </c>
      <c r="R49" s="278" t="str" cm="1">
        <f t="array" ref="R49">IFERROR(_xlfn.IFS(Materialedata[[#This Row],[Mængde-enhed]]="kg/m²",Materialedata[[#This Row],[A4/kg]]*Materialedata[[#This Row],[Mængde/m²]],Materialedata[[#This Row],[Mængde-enhed]]="m³/m²",Materialedata[[#This Row],[A4/kg]]*Materialedata[[#This Row],[Mængde/m²]]*Materialedata[[#This Row],[Densitet]]),"N/A")</f>
        <v>N/A</v>
      </c>
      <c r="S49" s="277">
        <f>Materialedata[[#This Row],[C3/enhed]]/8</f>
        <v>7.775E-2</v>
      </c>
      <c r="T49" s="277">
        <f>Materialedata[[#This Row],[C4/enhed]]/8</f>
        <v>0</v>
      </c>
      <c r="U49" s="277">
        <f>Materialedata[[#This Row],[D/enhed]]/8</f>
        <v>-4.0125000000000001E-2</v>
      </c>
      <c r="V49" s="150" t="str">
        <f>IFERROR(INDEX(Range_Materiale_Genbrug,MATCH(Materialedata[[#This Row],[Komponent]],Facadekomponenter,0)),BlankTegn)</f>
        <v>.</v>
      </c>
      <c r="W49" s="150" t="str">
        <f>IFERROR(1-Materialedata[[#This Row],[Genbrug]],BlankTegn)</f>
        <v>.</v>
      </c>
      <c r="X49" s="186" t="str">
        <f>IFERROR(Materialedata[[#This Row],[A1-A3/m²_nyt]]*Materialedata[[#This Row],[Nyt]],BlankTegn)</f>
        <v>.</v>
      </c>
      <c r="Y49" s="186" t="str">
        <f>Materialedata[[#This Row],[A4/m²_nyt]]</f>
        <v>N/A</v>
      </c>
      <c r="Z49" s="186" t="str">
        <f>IFERROR(Materialedata[[#This Row],[C3/m²_nyt]]*Materialedata[[#This Row],[Nyt]],BlankTegn)</f>
        <v>.</v>
      </c>
      <c r="AA49" s="186" t="str">
        <f>IFERROR(Materialedata[[#This Row],[C4/m²_nyt]]*Materialedata[[#This Row],[Nyt]],BlankTegn)</f>
        <v>.</v>
      </c>
      <c r="AB49" s="186" t="str">
        <f>IFERROR(Materialedata[[#This Row],[D/m²_nyt]]*Materialedata[[#This Row],[Nyt]],BlankTegn)</f>
        <v>.</v>
      </c>
      <c r="AC49" s="187"/>
      <c r="AD49" s="188"/>
      <c r="AE49" s="182"/>
      <c r="AF49" s="189">
        <f>Materialedata[[#This Row],[Pris/enhed]]*Materialedata[[#This Row],[Omregning]]</f>
        <v>0</v>
      </c>
      <c r="AG49" s="190">
        <v>0.01</v>
      </c>
      <c r="AH49" s="191">
        <v>1</v>
      </c>
      <c r="AI49" s="163">
        <v>0</v>
      </c>
      <c r="AJ49" s="141">
        <f>IF(AJ$2&gt;Input_Tidshorisont,BlankTegn,IF(AJ$2=0,SUM(Materialedata[[#This Row],[A1-A3/m²]:[A4/m²]]),
AI49+IF(AJ$2=Input_Tidshorisont,SUM(Materialedata[[#This Row],[C3/m²]:[C4/m²]]),IF(MOD(AJ$2,Materialedata[[#This Row],[Levetid]])=0,SUM(Materialedata[[#This Row],[A1-A3/m²]:[C4/m²]]),0))
))</f>
        <v>0</v>
      </c>
      <c r="AK49" s="141">
        <f>IF(AK$2&gt;Input_Tidshorisont,BlankTegn,IF(AK$2=0,SUM(Materialedata[[#This Row],[A1-A3/m²]:[A4/m²]]),
AJ49+IF(AK$2=Input_Tidshorisont,SUM(Materialedata[[#This Row],[C3/m²]:[C4/m²]]),IF(MOD(AK$2,Materialedata[[#This Row],[Levetid]])=0,SUM(Materialedata[[#This Row],[A1-A3/m²]:[C4/m²]]),0))
))</f>
        <v>0</v>
      </c>
      <c r="AL49" s="141">
        <f>IF(AL$2&gt;Input_Tidshorisont,BlankTegn,IF(AL$2=0,SUM(Materialedata[[#This Row],[A1-A3/m²]:[A4/m²]]),
AK49+IF(AL$2=Input_Tidshorisont,SUM(Materialedata[[#This Row],[C3/m²]:[C4/m²]]),IF(MOD(AL$2,Materialedata[[#This Row],[Levetid]])=0,SUM(Materialedata[[#This Row],[A1-A3/m²]:[C4/m²]]),0))
))</f>
        <v>0</v>
      </c>
      <c r="AM49" s="141">
        <f>IF(AM$2&gt;Input_Tidshorisont,BlankTegn,IF(AM$2=0,SUM(Materialedata[[#This Row],[A1-A3/m²]:[A4/m²]]),
AL49+IF(AM$2=Input_Tidshorisont,SUM(Materialedata[[#This Row],[C3/m²]:[C4/m²]]),IF(MOD(AM$2,Materialedata[[#This Row],[Levetid]])=0,SUM(Materialedata[[#This Row],[A1-A3/m²]:[C4/m²]]),0))
))</f>
        <v>0</v>
      </c>
      <c r="AN49" s="141">
        <f>IF(AN$2&gt;Input_Tidshorisont,BlankTegn,IF(AN$2=0,SUM(Materialedata[[#This Row],[A1-A3/m²]:[A4/m²]]),
AM49+IF(AN$2=Input_Tidshorisont,SUM(Materialedata[[#This Row],[C3/m²]:[C4/m²]]),IF(MOD(AN$2,Materialedata[[#This Row],[Levetid]])=0,SUM(Materialedata[[#This Row],[A1-A3/m²]:[C4/m²]]),0))
))</f>
        <v>0</v>
      </c>
      <c r="AO49" s="141">
        <f>IF(AO$2&gt;Input_Tidshorisont,BlankTegn,IF(AO$2=0,SUM(Materialedata[[#This Row],[A1-A3/m²]:[A4/m²]]),
AN49+IF(AO$2=Input_Tidshorisont,SUM(Materialedata[[#This Row],[C3/m²]:[C4/m²]]),IF(MOD(AO$2,Materialedata[[#This Row],[Levetid]])=0,SUM(Materialedata[[#This Row],[A1-A3/m²]:[C4/m²]]),0))
))</f>
        <v>0</v>
      </c>
      <c r="AP49" s="141">
        <f>IF(AP$2&gt;Input_Tidshorisont,BlankTegn,IF(AP$2=0,SUM(Materialedata[[#This Row],[A1-A3/m²]:[A4/m²]]),
AO49+IF(AP$2=Input_Tidshorisont,SUM(Materialedata[[#This Row],[C3/m²]:[C4/m²]]),IF(MOD(AP$2,Materialedata[[#This Row],[Levetid]])=0,SUM(Materialedata[[#This Row],[A1-A3/m²]:[C4/m²]]),0))
))</f>
        <v>0</v>
      </c>
      <c r="AQ49" s="141">
        <f>IF(AQ$2&gt;Input_Tidshorisont,BlankTegn,IF(AQ$2=0,SUM(Materialedata[[#This Row],[A1-A3/m²]:[A4/m²]]),
AP49+IF(AQ$2=Input_Tidshorisont,SUM(Materialedata[[#This Row],[C3/m²]:[C4/m²]]),IF(MOD(AQ$2,Materialedata[[#This Row],[Levetid]])=0,SUM(Materialedata[[#This Row],[A1-A3/m²]:[C4/m²]]),0))
))</f>
        <v>0</v>
      </c>
      <c r="AR49" s="141">
        <f>IF(AR$2&gt;Input_Tidshorisont,BlankTegn,IF(AR$2=0,SUM(Materialedata[[#This Row],[A1-A3/m²]:[A4/m²]]),
AQ49+IF(AR$2=Input_Tidshorisont,SUM(Materialedata[[#This Row],[C3/m²]:[C4/m²]]),IF(MOD(AR$2,Materialedata[[#This Row],[Levetid]])=0,SUM(Materialedata[[#This Row],[A1-A3/m²]:[C4/m²]]),0))
))</f>
        <v>0</v>
      </c>
      <c r="AS49" s="141">
        <f>IF(AS$2&gt;Input_Tidshorisont,BlankTegn,IF(AS$2=0,SUM(Materialedata[[#This Row],[A1-A3/m²]:[A4/m²]]),
AR49+IF(AS$2=Input_Tidshorisont,SUM(Materialedata[[#This Row],[C3/m²]:[C4/m²]]),IF(MOD(AS$2,Materialedata[[#This Row],[Levetid]])=0,SUM(Materialedata[[#This Row],[A1-A3/m²]:[C4/m²]]),0))
))</f>
        <v>0</v>
      </c>
      <c r="AT49" s="141">
        <f>IF(AT$2&gt;Input_Tidshorisont,BlankTegn,IF(AT$2=0,SUM(Materialedata[[#This Row],[A1-A3/m²]:[A4/m²]]),
AS49+IF(AT$2=Input_Tidshorisont,SUM(Materialedata[[#This Row],[C3/m²]:[C4/m²]]),IF(MOD(AT$2,Materialedata[[#This Row],[Levetid]])=0,SUM(Materialedata[[#This Row],[A1-A3/m²]:[C4/m²]]),0))
))</f>
        <v>0</v>
      </c>
      <c r="AU49" s="141">
        <f>IF(AU$2&gt;Input_Tidshorisont,BlankTegn,IF(AU$2=0,SUM(Materialedata[[#This Row],[A1-A3/m²]:[A4/m²]]),
AT49+IF(AU$2=Input_Tidshorisont,SUM(Materialedata[[#This Row],[C3/m²]:[C4/m²]]),IF(MOD(AU$2,Materialedata[[#This Row],[Levetid]])=0,SUM(Materialedata[[#This Row],[A1-A3/m²]:[C4/m²]]),0))
))</f>
        <v>0</v>
      </c>
      <c r="AV49" s="141">
        <f>IF(AV$2&gt;Input_Tidshorisont,BlankTegn,IF(AV$2=0,SUM(Materialedata[[#This Row],[A1-A3/m²]:[A4/m²]]),
AU49+IF(AV$2=Input_Tidshorisont,SUM(Materialedata[[#This Row],[C3/m²]:[C4/m²]]),IF(MOD(AV$2,Materialedata[[#This Row],[Levetid]])=0,SUM(Materialedata[[#This Row],[A1-A3/m²]:[C4/m²]]),0))
))</f>
        <v>0</v>
      </c>
      <c r="AW49" s="141">
        <f>IF(AW$2&gt;Input_Tidshorisont,BlankTegn,IF(AW$2=0,SUM(Materialedata[[#This Row],[A1-A3/m²]:[A4/m²]]),
AV49+IF(AW$2=Input_Tidshorisont,SUM(Materialedata[[#This Row],[C3/m²]:[C4/m²]]),IF(MOD(AW$2,Materialedata[[#This Row],[Levetid]])=0,SUM(Materialedata[[#This Row],[A1-A3/m²]:[C4/m²]]),0))
))</f>
        <v>0</v>
      </c>
      <c r="AX49" s="141">
        <f>IF(AX$2&gt;Input_Tidshorisont,BlankTegn,IF(AX$2=0,SUM(Materialedata[[#This Row],[A1-A3/m²]:[A4/m²]]),
AW49+IF(AX$2=Input_Tidshorisont,SUM(Materialedata[[#This Row],[C3/m²]:[C4/m²]]),IF(MOD(AX$2,Materialedata[[#This Row],[Levetid]])=0,SUM(Materialedata[[#This Row],[A1-A3/m²]:[C4/m²]]),0))
))</f>
        <v>0</v>
      </c>
      <c r="AY49" s="141">
        <f>IF(AY$2&gt;Input_Tidshorisont,BlankTegn,IF(AY$2=0,SUM(Materialedata[[#This Row],[A1-A3/m²]:[A4/m²]]),
AX49+IF(AY$2=Input_Tidshorisont,SUM(Materialedata[[#This Row],[C3/m²]:[C4/m²]]),IF(MOD(AY$2,Materialedata[[#This Row],[Levetid]])=0,SUM(Materialedata[[#This Row],[A1-A3/m²]:[C4/m²]]),0))
))</f>
        <v>0</v>
      </c>
      <c r="AZ49" s="141">
        <f>IF(AZ$2&gt;Input_Tidshorisont,BlankTegn,IF(AZ$2=0,SUM(Materialedata[[#This Row],[A1-A3/m²]:[A4/m²]]),
AY49+IF(AZ$2=Input_Tidshorisont,SUM(Materialedata[[#This Row],[C3/m²]:[C4/m²]]),IF(MOD(AZ$2,Materialedata[[#This Row],[Levetid]])=0,SUM(Materialedata[[#This Row],[A1-A3/m²]:[C4/m²]]),0))
))</f>
        <v>0</v>
      </c>
      <c r="BA49" s="141">
        <f>IF(BA$2&gt;Input_Tidshorisont,BlankTegn,IF(BA$2=0,SUM(Materialedata[[#This Row],[A1-A3/m²]:[A4/m²]]),
AZ49+IF(BA$2=Input_Tidshorisont,SUM(Materialedata[[#This Row],[C3/m²]:[C4/m²]]),IF(MOD(BA$2,Materialedata[[#This Row],[Levetid]])=0,SUM(Materialedata[[#This Row],[A1-A3/m²]:[C4/m²]]),0))
))</f>
        <v>0</v>
      </c>
      <c r="BB49" s="141">
        <f>IF(BB$2&gt;Input_Tidshorisont,BlankTegn,IF(BB$2=0,SUM(Materialedata[[#This Row],[A1-A3/m²]:[A4/m²]]),
BA49+IF(BB$2=Input_Tidshorisont,SUM(Materialedata[[#This Row],[C3/m²]:[C4/m²]]),IF(MOD(BB$2,Materialedata[[#This Row],[Levetid]])=0,SUM(Materialedata[[#This Row],[A1-A3/m²]:[C4/m²]]),0))
))</f>
        <v>0</v>
      </c>
      <c r="BC49" s="141">
        <f>IF(BC$2&gt;Input_Tidshorisont,BlankTegn,IF(BC$2=0,SUM(Materialedata[[#This Row],[A1-A3/m²]:[A4/m²]]),
BB49+IF(BC$2=Input_Tidshorisont,SUM(Materialedata[[#This Row],[C3/m²]:[C4/m²]]),IF(MOD(BC$2,Materialedata[[#This Row],[Levetid]])=0,SUM(Materialedata[[#This Row],[A1-A3/m²]:[C4/m²]]),0))
))</f>
        <v>0</v>
      </c>
      <c r="BD49" s="141">
        <f>IF(BD$2&gt;Input_Tidshorisont,BlankTegn,IF(BD$2=0,SUM(Materialedata[[#This Row],[A1-A3/m²]:[A4/m²]]),
BC49+IF(BD$2=Input_Tidshorisont,SUM(Materialedata[[#This Row],[C3/m²]:[C4/m²]]),IF(MOD(BD$2,Materialedata[[#This Row],[Levetid]])=0,SUM(Materialedata[[#This Row],[A1-A3/m²]:[C4/m²]]),0))
))</f>
        <v>0</v>
      </c>
      <c r="BE49" s="141">
        <f>IF(BE$2&gt;Input_Tidshorisont,BlankTegn,IF(BE$2=0,SUM(Materialedata[[#This Row],[A1-A3/m²]:[A4/m²]]),
BD49+IF(BE$2=Input_Tidshorisont,SUM(Materialedata[[#This Row],[C3/m²]:[C4/m²]]),IF(MOD(BE$2,Materialedata[[#This Row],[Levetid]])=0,SUM(Materialedata[[#This Row],[A1-A3/m²]:[C4/m²]]),0))
))</f>
        <v>0</v>
      </c>
      <c r="BF49" s="141">
        <f>IF(BF$2&gt;Input_Tidshorisont,BlankTegn,IF(BF$2=0,SUM(Materialedata[[#This Row],[A1-A3/m²]:[A4/m²]]),
BE49+IF(BF$2=Input_Tidshorisont,SUM(Materialedata[[#This Row],[C3/m²]:[C4/m²]]),IF(MOD(BF$2,Materialedata[[#This Row],[Levetid]])=0,SUM(Materialedata[[#This Row],[A1-A3/m²]:[C4/m²]]),0))
))</f>
        <v>0</v>
      </c>
      <c r="BG49" s="141">
        <f>IF(BG$2&gt;Input_Tidshorisont,BlankTegn,IF(BG$2=0,SUM(Materialedata[[#This Row],[A1-A3/m²]:[A4/m²]]),
BF49+IF(BG$2=Input_Tidshorisont,SUM(Materialedata[[#This Row],[C3/m²]:[C4/m²]]),IF(MOD(BG$2,Materialedata[[#This Row],[Levetid]])=0,SUM(Materialedata[[#This Row],[A1-A3/m²]:[C4/m²]]),0))
))</f>
        <v>0</v>
      </c>
      <c r="BH49" s="141">
        <f>IF(BH$2&gt;Input_Tidshorisont,BlankTegn,IF(BH$2=0,SUM(Materialedata[[#This Row],[A1-A3/m²]:[A4/m²]]),
BG49+IF(BH$2=Input_Tidshorisont,SUM(Materialedata[[#This Row],[C3/m²]:[C4/m²]]),IF(MOD(BH$2,Materialedata[[#This Row],[Levetid]])=0,SUM(Materialedata[[#This Row],[A1-A3/m²]:[C4/m²]]),0))
))</f>
        <v>0</v>
      </c>
      <c r="BI49" s="141">
        <f>IF(BI$2&gt;Input_Tidshorisont,BlankTegn,IF(BI$2=0,SUM(Materialedata[[#This Row],[A1-A3/m²]:[A4/m²]]),
BH49+IF(BI$2=Input_Tidshorisont,SUM(Materialedata[[#This Row],[C3/m²]:[C4/m²]]),IF(MOD(BI$2,Materialedata[[#This Row],[Levetid]])=0,SUM(Materialedata[[#This Row],[A1-A3/m²]:[C4/m²]]),0))
))</f>
        <v>0</v>
      </c>
      <c r="BJ49" s="141">
        <f>IF(BJ$2&gt;Input_Tidshorisont,BlankTegn,IF(BJ$2=0,SUM(Materialedata[[#This Row],[A1-A3/m²]:[A4/m²]]),
BI49+IF(BJ$2=Input_Tidshorisont,SUM(Materialedata[[#This Row],[C3/m²]:[C4/m²]]),IF(MOD(BJ$2,Materialedata[[#This Row],[Levetid]])=0,SUM(Materialedata[[#This Row],[A1-A3/m²]:[C4/m²]]),0))
))</f>
        <v>0</v>
      </c>
      <c r="BK49" s="141">
        <f>IF(BK$2&gt;Input_Tidshorisont,BlankTegn,IF(BK$2=0,SUM(Materialedata[[#This Row],[A1-A3/m²]:[A4/m²]]),
BJ49+IF(BK$2=Input_Tidshorisont,SUM(Materialedata[[#This Row],[C3/m²]:[C4/m²]]),IF(MOD(BK$2,Materialedata[[#This Row],[Levetid]])=0,SUM(Materialedata[[#This Row],[A1-A3/m²]:[C4/m²]]),0))
))</f>
        <v>0</v>
      </c>
      <c r="BL49" s="141">
        <f>IF(BL$2&gt;Input_Tidshorisont,BlankTegn,IF(BL$2=0,SUM(Materialedata[[#This Row],[A1-A3/m²]:[A4/m²]]),
BK49+IF(BL$2=Input_Tidshorisont,SUM(Materialedata[[#This Row],[C3/m²]:[C4/m²]]),IF(MOD(BL$2,Materialedata[[#This Row],[Levetid]])=0,SUM(Materialedata[[#This Row],[A1-A3/m²]:[C4/m²]]),0))
))</f>
        <v>0</v>
      </c>
      <c r="BM49" s="141">
        <f>IF(BM$2&gt;Input_Tidshorisont,BlankTegn,IF(BM$2=0,SUM(Materialedata[[#This Row],[A1-A3/m²]:[A4/m²]]),
BL49+IF(BM$2=Input_Tidshorisont,SUM(Materialedata[[#This Row],[C3/m²]:[C4/m²]]),IF(MOD(BM$2,Materialedata[[#This Row],[Levetid]])=0,SUM(Materialedata[[#This Row],[A1-A3/m²]:[C4/m²]]),0))
))</f>
        <v>0</v>
      </c>
      <c r="BN49" s="141">
        <f>IF(BN$2&gt;Input_Tidshorisont,BlankTegn,IF(BN$2=0,SUM(Materialedata[[#This Row],[A1-A3/m²]:[A4/m²]]),
BM49+IF(BN$2=Input_Tidshorisont,SUM(Materialedata[[#This Row],[C3/m²]:[C4/m²]]),IF(MOD(BN$2,Materialedata[[#This Row],[Levetid]])=0,SUM(Materialedata[[#This Row],[A1-A3/m²]:[C4/m²]]),0))
))</f>
        <v>0</v>
      </c>
      <c r="BO49" s="141">
        <f>IF(BO$2&gt;Input_Tidshorisont,BlankTegn,IF(BO$2=0,SUM(Materialedata[[#This Row],[A1-A3/m²]:[A4/m²]]),
BN49+IF(BO$2=Input_Tidshorisont,SUM(Materialedata[[#This Row],[C3/m²]:[C4/m²]]),IF(MOD(BO$2,Materialedata[[#This Row],[Levetid]])=0,SUM(Materialedata[[#This Row],[A1-A3/m²]:[C4/m²]]),0))
))</f>
        <v>0</v>
      </c>
      <c r="BP49" s="141">
        <f>IF(BP$2&gt;Input_Tidshorisont,BlankTegn,IF(BP$2=0,SUM(Materialedata[[#This Row],[A1-A3/m²]:[A4/m²]]),
BO49+IF(BP$2=Input_Tidshorisont,SUM(Materialedata[[#This Row],[C3/m²]:[C4/m²]]),IF(MOD(BP$2,Materialedata[[#This Row],[Levetid]])=0,SUM(Materialedata[[#This Row],[A1-A3/m²]:[C4/m²]]),0))
))</f>
        <v>0</v>
      </c>
      <c r="BQ49" s="141">
        <f>IF(BQ$2&gt;Input_Tidshorisont,BlankTegn,IF(BQ$2=0,SUM(Materialedata[[#This Row],[A1-A3/m²]:[A4/m²]]),
BP49+IF(BQ$2=Input_Tidshorisont,SUM(Materialedata[[#This Row],[C3/m²]:[C4/m²]]),IF(MOD(BQ$2,Materialedata[[#This Row],[Levetid]])=0,SUM(Materialedata[[#This Row],[A1-A3/m²]:[C4/m²]]),0))
))</f>
        <v>0</v>
      </c>
      <c r="BR49" s="141">
        <f>IF(BR$2&gt;Input_Tidshorisont,BlankTegn,IF(BR$2=0,SUM(Materialedata[[#This Row],[A1-A3/m²]:[A4/m²]]),
BQ49+IF(BR$2=Input_Tidshorisont,SUM(Materialedata[[#This Row],[C3/m²]:[C4/m²]]),IF(MOD(BR$2,Materialedata[[#This Row],[Levetid]])=0,SUM(Materialedata[[#This Row],[A1-A3/m²]:[C4/m²]]),0))
))</f>
        <v>0</v>
      </c>
      <c r="BS49" s="141">
        <f>IF(BS$2&gt;Input_Tidshorisont,BlankTegn,IF(BS$2=0,SUM(Materialedata[[#This Row],[A1-A3/m²]:[A4/m²]]),
BR49+IF(BS$2=Input_Tidshorisont,SUM(Materialedata[[#This Row],[C3/m²]:[C4/m²]]),IF(MOD(BS$2,Materialedata[[#This Row],[Levetid]])=0,SUM(Materialedata[[#This Row],[A1-A3/m²]:[C4/m²]]),0))
))</f>
        <v>0</v>
      </c>
      <c r="BT49" s="141">
        <f>IF(BT$2&gt;Input_Tidshorisont,BlankTegn,IF(BT$2=0,SUM(Materialedata[[#This Row],[A1-A3/m²]:[A4/m²]]),
BS49+IF(BT$2=Input_Tidshorisont,SUM(Materialedata[[#This Row],[C3/m²]:[C4/m²]]),IF(MOD(BT$2,Materialedata[[#This Row],[Levetid]])=0,SUM(Materialedata[[#This Row],[A1-A3/m²]:[C4/m²]]),0))
))</f>
        <v>0</v>
      </c>
      <c r="BU49" s="141">
        <f>IF(BU$2&gt;Input_Tidshorisont,BlankTegn,IF(BU$2=0,SUM(Materialedata[[#This Row],[A1-A3/m²]:[A4/m²]]),
BT49+IF(BU$2=Input_Tidshorisont,SUM(Materialedata[[#This Row],[C3/m²]:[C4/m²]]),IF(MOD(BU$2,Materialedata[[#This Row],[Levetid]])=0,SUM(Materialedata[[#This Row],[A1-A3/m²]:[C4/m²]]),0))
))</f>
        <v>0</v>
      </c>
      <c r="BV49" s="141">
        <f>IF(BV$2&gt;Input_Tidshorisont,BlankTegn,IF(BV$2=0,SUM(Materialedata[[#This Row],[A1-A3/m²]:[A4/m²]]),
BU49+IF(BV$2=Input_Tidshorisont,SUM(Materialedata[[#This Row],[C3/m²]:[C4/m²]]),IF(MOD(BV$2,Materialedata[[#This Row],[Levetid]])=0,SUM(Materialedata[[#This Row],[A1-A3/m²]:[C4/m²]]),0))
))</f>
        <v>0</v>
      </c>
      <c r="BW49" s="141">
        <f>IF(BW$2&gt;Input_Tidshorisont,BlankTegn,IF(BW$2=0,SUM(Materialedata[[#This Row],[A1-A3/m²]:[A4/m²]]),
BV49+IF(BW$2=Input_Tidshorisont,SUM(Materialedata[[#This Row],[C3/m²]:[C4/m²]]),IF(MOD(BW$2,Materialedata[[#This Row],[Levetid]])=0,SUM(Materialedata[[#This Row],[A1-A3/m²]:[C4/m²]]),0))
))</f>
        <v>0</v>
      </c>
      <c r="BX49" s="141">
        <f>IF(BX$2&gt;Input_Tidshorisont,BlankTegn,IF(BX$2=0,SUM(Materialedata[[#This Row],[A1-A3/m²]:[A4/m²]]),
BW49+IF(BX$2=Input_Tidshorisont,SUM(Materialedata[[#This Row],[C3/m²]:[C4/m²]]),IF(MOD(BX$2,Materialedata[[#This Row],[Levetid]])=0,SUM(Materialedata[[#This Row],[A1-A3/m²]:[C4/m²]]),0))
))</f>
        <v>0</v>
      </c>
      <c r="BY49" s="141">
        <f>IF(BY$2&gt;Input_Tidshorisont,BlankTegn,IF(BY$2=0,SUM(Materialedata[[#This Row],[A1-A3/m²]:[A4/m²]]),
BX49+IF(BY$2=Input_Tidshorisont,SUM(Materialedata[[#This Row],[C3/m²]:[C4/m²]]),IF(MOD(BY$2,Materialedata[[#This Row],[Levetid]])=0,SUM(Materialedata[[#This Row],[A1-A3/m²]:[C4/m²]]),0))
))</f>
        <v>0</v>
      </c>
      <c r="BZ49" s="141">
        <f>IF(BZ$2&gt;Input_Tidshorisont,BlankTegn,IF(BZ$2=0,SUM(Materialedata[[#This Row],[A1-A3/m²]:[A4/m²]]),
BY49+IF(BZ$2=Input_Tidshorisont,SUM(Materialedata[[#This Row],[C3/m²]:[C4/m²]]),IF(MOD(BZ$2,Materialedata[[#This Row],[Levetid]])=0,SUM(Materialedata[[#This Row],[A1-A3/m²]:[C4/m²]]),0))
))</f>
        <v>0</v>
      </c>
      <c r="CA49" s="141">
        <f>IF(CA$2&gt;Input_Tidshorisont,BlankTegn,IF(CA$2=0,SUM(Materialedata[[#This Row],[A1-A3/m²]:[A4/m²]]),
BZ49+IF(CA$2=Input_Tidshorisont,SUM(Materialedata[[#This Row],[C3/m²]:[C4/m²]]),IF(MOD(CA$2,Materialedata[[#This Row],[Levetid]])=0,SUM(Materialedata[[#This Row],[A1-A3/m²]:[C4/m²]]),0))
))</f>
        <v>0</v>
      </c>
      <c r="CB49" s="141">
        <f>IF(CB$2&gt;Input_Tidshorisont,BlankTegn,IF(CB$2=0,SUM(Materialedata[[#This Row],[A1-A3/m²]:[A4/m²]]),
CA49+IF(CB$2=Input_Tidshorisont,SUM(Materialedata[[#This Row],[C3/m²]:[C4/m²]]),IF(MOD(CB$2,Materialedata[[#This Row],[Levetid]])=0,SUM(Materialedata[[#This Row],[A1-A3/m²]:[C4/m²]]),0))
))</f>
        <v>0</v>
      </c>
      <c r="CC49" s="141">
        <f>IF(CC$2&gt;Input_Tidshorisont,BlankTegn,IF(CC$2=0,SUM(Materialedata[[#This Row],[A1-A3/m²]:[A4/m²]]),
CB49+IF(CC$2=Input_Tidshorisont,SUM(Materialedata[[#This Row],[C3/m²]:[C4/m²]]),IF(MOD(CC$2,Materialedata[[#This Row],[Levetid]])=0,SUM(Materialedata[[#This Row],[A1-A3/m²]:[C4/m²]]),0))
))</f>
        <v>0</v>
      </c>
      <c r="CD49" s="141">
        <f>IF(CD$2&gt;Input_Tidshorisont,BlankTegn,IF(CD$2=0,SUM(Materialedata[[#This Row],[A1-A3/m²]:[A4/m²]]),
CC49+IF(CD$2=Input_Tidshorisont,SUM(Materialedata[[#This Row],[C3/m²]:[C4/m²]]),IF(MOD(CD$2,Materialedata[[#This Row],[Levetid]])=0,SUM(Materialedata[[#This Row],[A1-A3/m²]:[C4/m²]]),0))
))</f>
        <v>0</v>
      </c>
      <c r="CE49" s="141">
        <f>IF(CE$2&gt;Input_Tidshorisont,BlankTegn,IF(CE$2=0,SUM(Materialedata[[#This Row],[A1-A3/m²]:[A4/m²]]),
CD49+IF(CE$2=Input_Tidshorisont,SUM(Materialedata[[#This Row],[C3/m²]:[C4/m²]]),IF(MOD(CE$2,Materialedata[[#This Row],[Levetid]])=0,SUM(Materialedata[[#This Row],[A1-A3/m²]:[C4/m²]]),0))
))</f>
        <v>0</v>
      </c>
      <c r="CF49" s="141">
        <f>IF(CF$2&gt;Input_Tidshorisont,BlankTegn,IF(CF$2=0,SUM(Materialedata[[#This Row],[A1-A3/m²]:[A4/m²]]),
CE49+IF(CF$2=Input_Tidshorisont,SUM(Materialedata[[#This Row],[C3/m²]:[C4/m²]]),IF(MOD(CF$2,Materialedata[[#This Row],[Levetid]])=0,SUM(Materialedata[[#This Row],[A1-A3/m²]:[C4/m²]]),0))
))</f>
        <v>0</v>
      </c>
      <c r="CG49" s="141">
        <f>IF(CG$2&gt;Input_Tidshorisont,BlankTegn,IF(CG$2=0,SUM(Materialedata[[#This Row],[A1-A3/m²]:[A4/m²]]),
CF49+IF(CG$2=Input_Tidshorisont,SUM(Materialedata[[#This Row],[C3/m²]:[C4/m²]]),IF(MOD(CG$2,Materialedata[[#This Row],[Levetid]])=0,SUM(Materialedata[[#This Row],[A1-A3/m²]:[C4/m²]]),0))
))</f>
        <v>0</v>
      </c>
      <c r="CH49" s="141">
        <f>IF(CH$2&gt;Input_Tidshorisont,BlankTegn,IF(CH$2=0,SUM(Materialedata[[#This Row],[A1-A3/m²]:[A4/m²]]),
CG49+IF(CH$2=Input_Tidshorisont,SUM(Materialedata[[#This Row],[C3/m²]:[C4/m²]]),IF(MOD(CH$2,Materialedata[[#This Row],[Levetid]])=0,SUM(Materialedata[[#This Row],[A1-A3/m²]:[C4/m²]]),0))
))</f>
        <v>0</v>
      </c>
      <c r="CI49" s="141" t="str">
        <f>IF(CI$2&gt;Input_Tidshorisont,BlankTegn,IF(CI$2=0,SUM(Materialedata[[#This Row],[A1-A3/m²]:[A4/m²]]),
CH49+IF(CI$2=Input_Tidshorisont,SUM(Materialedata[[#This Row],[C3/m²]:[C4/m²]]),IF(MOD(CI$2,Materialedata[[#This Row],[Levetid]])=0,SUM(Materialedata[[#This Row],[A1-A3/m²]:[C4/m²]]),0))
))</f>
        <v>.</v>
      </c>
      <c r="CJ49" s="141" t="str">
        <f>IF(CJ$2&gt;Input_Tidshorisont,BlankTegn,IF(CJ$2=0,SUM(Materialedata[[#This Row],[A1-A3/m²]:[A4/m²]]),
CI49+IF(CJ$2=Input_Tidshorisont,SUM(Materialedata[[#This Row],[C3/m²]:[C4/m²]]),IF(MOD(CJ$2,Materialedata[[#This Row],[Levetid]])=0,SUM(Materialedata[[#This Row],[A1-A3/m²]:[C4/m²]]),0))
))</f>
        <v>.</v>
      </c>
      <c r="CK49" s="141" t="str">
        <f>IF(CK$2&gt;Input_Tidshorisont,BlankTegn,IF(CK$2=0,SUM(Materialedata[[#This Row],[A1-A3/m²]:[A4/m²]]),
CJ49+IF(CK$2=Input_Tidshorisont,SUM(Materialedata[[#This Row],[C3/m²]:[C4/m²]]),IF(MOD(CK$2,Materialedata[[#This Row],[Levetid]])=0,SUM(Materialedata[[#This Row],[A1-A3/m²]:[C4/m²]]),0))
))</f>
        <v>.</v>
      </c>
      <c r="CL49" s="141" t="str">
        <f>IF(CL$2&gt;Input_Tidshorisont,BlankTegn,IF(CL$2=0,SUM(Materialedata[[#This Row],[A1-A3/m²]:[A4/m²]]),
CK49+IF(CL$2=Input_Tidshorisont,SUM(Materialedata[[#This Row],[C3/m²]:[C4/m²]]),IF(MOD(CL$2,Materialedata[[#This Row],[Levetid]])=0,SUM(Materialedata[[#This Row],[A1-A3/m²]:[C4/m²]]),0))
))</f>
        <v>.</v>
      </c>
      <c r="CM49" s="141" t="str">
        <f>IF(CM$2&gt;Input_Tidshorisont,BlankTegn,IF(CM$2=0,SUM(Materialedata[[#This Row],[A1-A3/m²]:[A4/m²]]),
CL49+IF(CM$2=Input_Tidshorisont,SUM(Materialedata[[#This Row],[C3/m²]:[C4/m²]]),IF(MOD(CM$2,Materialedata[[#This Row],[Levetid]])=0,SUM(Materialedata[[#This Row],[A1-A3/m²]:[C4/m²]]),0))
))</f>
        <v>.</v>
      </c>
      <c r="CN49" s="141" t="str">
        <f>IF(CN$2&gt;Input_Tidshorisont,BlankTegn,IF(CN$2=0,SUM(Materialedata[[#This Row],[A1-A3/m²]:[A4/m²]]),
CM49+IF(CN$2=Input_Tidshorisont,SUM(Materialedata[[#This Row],[C3/m²]:[C4/m²]]),IF(MOD(CN$2,Materialedata[[#This Row],[Levetid]])=0,SUM(Materialedata[[#This Row],[A1-A3/m²]:[C4/m²]]),0))
))</f>
        <v>.</v>
      </c>
      <c r="CO49" s="141" t="str">
        <f>IF(CO$2&gt;Input_Tidshorisont,BlankTegn,IF(CO$2=0,SUM(Materialedata[[#This Row],[A1-A3/m²]:[A4/m²]]),
CN49+IF(CO$2=Input_Tidshorisont,SUM(Materialedata[[#This Row],[C3/m²]:[C4/m²]]),IF(MOD(CO$2,Materialedata[[#This Row],[Levetid]])=0,SUM(Materialedata[[#This Row],[A1-A3/m²]:[C4/m²]]),0))
))</f>
        <v>.</v>
      </c>
      <c r="CP49" s="141" t="str">
        <f>IF(CP$2&gt;Input_Tidshorisont,BlankTegn,IF(CP$2=0,SUM(Materialedata[[#This Row],[A1-A3/m²]:[A4/m²]]),
CO49+IF(CP$2=Input_Tidshorisont,SUM(Materialedata[[#This Row],[C3/m²]:[C4/m²]]),IF(MOD(CP$2,Materialedata[[#This Row],[Levetid]])=0,SUM(Materialedata[[#This Row],[A1-A3/m²]:[C4/m²]]),0))
))</f>
        <v>.</v>
      </c>
      <c r="CQ49" s="141" t="str">
        <f>IF(CQ$2&gt;Input_Tidshorisont,BlankTegn,IF(CQ$2=0,SUM(Materialedata[[#This Row],[A1-A3/m²]:[A4/m²]]),
CP49+IF(CQ$2=Input_Tidshorisont,SUM(Materialedata[[#This Row],[C3/m²]:[C4/m²]]),IF(MOD(CQ$2,Materialedata[[#This Row],[Levetid]])=0,SUM(Materialedata[[#This Row],[A1-A3/m²]:[C4/m²]]),0))
))</f>
        <v>.</v>
      </c>
      <c r="CR49" s="141" t="str">
        <f>IF(CR$2&gt;Input_Tidshorisont,BlankTegn,IF(CR$2=0,SUM(Materialedata[[#This Row],[A1-A3/m²]:[A4/m²]]),
CQ49+IF(CR$2=Input_Tidshorisont,SUM(Materialedata[[#This Row],[C3/m²]:[C4/m²]]),IF(MOD(CR$2,Materialedata[[#This Row],[Levetid]])=0,SUM(Materialedata[[#This Row],[A1-A3/m²]:[C4/m²]]),0))
))</f>
        <v>.</v>
      </c>
      <c r="CS49" s="141" t="str">
        <f>IF(CS$2&gt;Input_Tidshorisont,BlankTegn,IF(CS$2=0,SUM(Materialedata[[#This Row],[A1-A3/m²]:[A4/m²]]),
CR49+IF(CS$2=Input_Tidshorisont,SUM(Materialedata[[#This Row],[C3/m²]:[C4/m²]]),IF(MOD(CS$2,Materialedata[[#This Row],[Levetid]])=0,SUM(Materialedata[[#This Row],[A1-A3/m²]:[C4/m²]]),0))
))</f>
        <v>.</v>
      </c>
      <c r="CT49" s="141" t="str">
        <f>IF(CT$2&gt;Input_Tidshorisont,BlankTegn,IF(CT$2=0,SUM(Materialedata[[#This Row],[A1-A3/m²]:[A4/m²]]),
CS49+IF(CT$2=Input_Tidshorisont,SUM(Materialedata[[#This Row],[C3/m²]:[C4/m²]]),IF(MOD(CT$2,Materialedata[[#This Row],[Levetid]])=0,SUM(Materialedata[[#This Row],[A1-A3/m²]:[C4/m²]]),0))
))</f>
        <v>.</v>
      </c>
      <c r="CU49" s="141" t="str">
        <f>IF(CU$2&gt;Input_Tidshorisont,BlankTegn,IF(CU$2=0,SUM(Materialedata[[#This Row],[A1-A3/m²]:[A4/m²]]),
CT49+IF(CU$2=Input_Tidshorisont,SUM(Materialedata[[#This Row],[C3/m²]:[C4/m²]]),IF(MOD(CU$2,Materialedata[[#This Row],[Levetid]])=0,SUM(Materialedata[[#This Row],[A1-A3/m²]:[C4/m²]]),0))
))</f>
        <v>.</v>
      </c>
      <c r="CV49" s="141" t="str">
        <f>IF(CV$2&gt;Input_Tidshorisont,BlankTegn,IF(CV$2=0,SUM(Materialedata[[#This Row],[A1-A3/m²]:[A4/m²]]),
CU49+IF(CV$2=Input_Tidshorisont,SUM(Materialedata[[#This Row],[C3/m²]:[C4/m²]]),IF(MOD(CV$2,Materialedata[[#This Row],[Levetid]])=0,SUM(Materialedata[[#This Row],[A1-A3/m²]:[C4/m²]]),0))
))</f>
        <v>.</v>
      </c>
      <c r="CW49" s="141" t="str">
        <f>IF(CW$2&gt;Input_Tidshorisont,BlankTegn,IF(CW$2=0,SUM(Materialedata[[#This Row],[A1-A3/m²]:[A4/m²]]),
CV49+IF(CW$2=Input_Tidshorisont,SUM(Materialedata[[#This Row],[C3/m²]:[C4/m²]]),IF(MOD(CW$2,Materialedata[[#This Row],[Levetid]])=0,SUM(Materialedata[[#This Row],[A1-A3/m²]:[C4/m²]]),0))
))</f>
        <v>.</v>
      </c>
      <c r="CX49" s="141" t="str">
        <f>IF(CX$2&gt;Input_Tidshorisont,BlankTegn,IF(CX$2=0,SUM(Materialedata[[#This Row],[A1-A3/m²]:[A4/m²]]),
CW49+IF(CX$2=Input_Tidshorisont,SUM(Materialedata[[#This Row],[C3/m²]:[C4/m²]]),IF(MOD(CX$2,Materialedata[[#This Row],[Levetid]])=0,SUM(Materialedata[[#This Row],[A1-A3/m²]:[C4/m²]]),0))
))</f>
        <v>.</v>
      </c>
      <c r="CY49" s="141" t="str">
        <f>IF(CY$2&gt;Input_Tidshorisont,BlankTegn,IF(CY$2=0,SUM(Materialedata[[#This Row],[A1-A3/m²]:[A4/m²]]),
CX49+IF(CY$2=Input_Tidshorisont,SUM(Materialedata[[#This Row],[C3/m²]:[C4/m²]]),IF(MOD(CY$2,Materialedata[[#This Row],[Levetid]])=0,SUM(Materialedata[[#This Row],[A1-A3/m²]:[C4/m²]]),0))
))</f>
        <v>.</v>
      </c>
      <c r="CZ49" s="141" t="str">
        <f>IF(CZ$2&gt;Input_Tidshorisont,BlankTegn,IF(CZ$2=0,SUM(Materialedata[[#This Row],[A1-A3/m²]:[A4/m²]]),
CY49+IF(CZ$2=Input_Tidshorisont,SUM(Materialedata[[#This Row],[C3/m²]:[C4/m²]]),IF(MOD(CZ$2,Materialedata[[#This Row],[Levetid]])=0,SUM(Materialedata[[#This Row],[A1-A3/m²]:[C4/m²]]),0))
))</f>
        <v>.</v>
      </c>
      <c r="DA49" s="141" t="str">
        <f>IF(DA$2&gt;Input_Tidshorisont,BlankTegn,IF(DA$2=0,SUM(Materialedata[[#This Row],[A1-A3/m²]:[A4/m²]]),
CZ49+IF(DA$2=Input_Tidshorisont,SUM(Materialedata[[#This Row],[C3/m²]:[C4/m²]]),IF(MOD(DA$2,Materialedata[[#This Row],[Levetid]])=0,SUM(Materialedata[[#This Row],[A1-A3/m²]:[C4/m²]]),0))
))</f>
        <v>.</v>
      </c>
      <c r="DB49" s="141" t="str">
        <f>IF(DB$2&gt;Input_Tidshorisont,BlankTegn,IF(DB$2=0,SUM(Materialedata[[#This Row],[A1-A3/m²]:[A4/m²]]),
DA49+IF(DB$2=Input_Tidshorisont,SUM(Materialedata[[#This Row],[C3/m²]:[C4/m²]]),IF(MOD(DB$2,Materialedata[[#This Row],[Levetid]])=0,SUM(Materialedata[[#This Row],[A1-A3/m²]:[C4/m²]]),0))
))</f>
        <v>.</v>
      </c>
      <c r="DC49" s="141" t="str">
        <f>IF(DC$2&gt;Input_Tidshorisont,BlankTegn,IF(DC$2=0,SUM(Materialedata[[#This Row],[A1-A3/m²]:[A4/m²]]),
DB49+IF(DC$2=Input_Tidshorisont,SUM(Materialedata[[#This Row],[C3/m²]:[C4/m²]]),IF(MOD(DC$2,Materialedata[[#This Row],[Levetid]])=0,SUM(Materialedata[[#This Row],[A1-A3/m²]:[C4/m²]]),0))
))</f>
        <v>.</v>
      </c>
      <c r="DD49" s="141" t="str">
        <f>IF(DD$2&gt;Input_Tidshorisont,BlankTegn,IF(DD$2=0,SUM(Materialedata[[#This Row],[A1-A3/m²]:[A4/m²]]),
DC49+IF(DD$2=Input_Tidshorisont,SUM(Materialedata[[#This Row],[C3/m²]:[C4/m²]]),IF(MOD(DD$2,Materialedata[[#This Row],[Levetid]])=0,SUM(Materialedata[[#This Row],[A1-A3/m²]:[C4/m²]]),0))
))</f>
        <v>.</v>
      </c>
      <c r="DE49" s="141" t="str">
        <f>IF(DE$2&gt;Input_Tidshorisont,BlankTegn,IF(DE$2=0,SUM(Materialedata[[#This Row],[A1-A3/m²]:[A4/m²]]),
DD49+IF(DE$2=Input_Tidshorisont,SUM(Materialedata[[#This Row],[C3/m²]:[C4/m²]]),IF(MOD(DE$2,Materialedata[[#This Row],[Levetid]])=0,SUM(Materialedata[[#This Row],[A1-A3/m²]:[C4/m²]]),0))
))</f>
        <v>.</v>
      </c>
      <c r="DF49" s="141" t="str">
        <f>IF(DF$2&gt;Input_Tidshorisont,BlankTegn,IF(DF$2=0,SUM(Materialedata[[#This Row],[A1-A3/m²]:[A4/m²]]),
DE49+IF(DF$2=Input_Tidshorisont,SUM(Materialedata[[#This Row],[C3/m²]:[C4/m²]]),IF(MOD(DF$2,Materialedata[[#This Row],[Levetid]])=0,SUM(Materialedata[[#This Row],[A1-A3/m²]:[C4/m²]]),0))
))</f>
        <v>.</v>
      </c>
      <c r="DG49" s="141" t="str">
        <f>IF(DG$2&gt;Input_Tidshorisont,BlankTegn,IF(DG$2=0,SUM(Materialedata[[#This Row],[A1-A3/m²]:[A4/m²]]),
DF49+IF(DG$2=Input_Tidshorisont,SUM(Materialedata[[#This Row],[C3/m²]:[C4/m²]]),IF(MOD(DG$2,Materialedata[[#This Row],[Levetid]])=0,SUM(Materialedata[[#This Row],[A1-A3/m²]:[C4/m²]]),0))
))</f>
        <v>.</v>
      </c>
      <c r="DH49" s="141" t="str">
        <f>IF(DH$2&gt;Input_Tidshorisont,BlankTegn,IF(DH$2=0,SUM(Materialedata[[#This Row],[A1-A3/m²]:[A4/m²]]),
DG49+IF(DH$2=Input_Tidshorisont,SUM(Materialedata[[#This Row],[C3/m²]:[C4/m²]]),IF(MOD(DH$2,Materialedata[[#This Row],[Levetid]])=0,SUM(Materialedata[[#This Row],[A1-A3/m²]:[C4/m²]]),0))
))</f>
        <v>.</v>
      </c>
      <c r="DI49" s="141" t="str">
        <f>IF(DI$2&gt;Input_Tidshorisont,BlankTegn,IF(DI$2=0,SUM(Materialedata[[#This Row],[A1-A3/m²]:[A4/m²]]),
DH49+IF(DI$2=Input_Tidshorisont,SUM(Materialedata[[#This Row],[C3/m²]:[C4/m²]]),IF(MOD(DI$2,Materialedata[[#This Row],[Levetid]])=0,SUM(Materialedata[[#This Row],[A1-A3/m²]:[C4/m²]]),0))
))</f>
        <v>.</v>
      </c>
      <c r="DJ49" s="141" t="str">
        <f>IF(DJ$2&gt;Input_Tidshorisont,BlankTegn,IF(DJ$2=0,SUM(Materialedata[[#This Row],[A1-A3/m²]:[A4/m²]]),
DI49+IF(DJ$2=Input_Tidshorisont,SUM(Materialedata[[#This Row],[C3/m²]:[C4/m²]]),IF(MOD(DJ$2,Materialedata[[#This Row],[Levetid]])=0,SUM(Materialedata[[#This Row],[A1-A3/m²]:[C4/m²]]),0))
))</f>
        <v>.</v>
      </c>
      <c r="DK49" s="141" t="str">
        <f>IF(DK$2&gt;Input_Tidshorisont,BlankTegn,IF(DK$2=0,SUM(Materialedata[[#This Row],[A1-A3/m²]:[A4/m²]]),
DJ49+IF(DK$2=Input_Tidshorisont,SUM(Materialedata[[#This Row],[C3/m²]:[C4/m²]]),IF(MOD(DK$2,Materialedata[[#This Row],[Levetid]])=0,SUM(Materialedata[[#This Row],[A1-A3/m²]:[C4/m²]]),0))
))</f>
        <v>.</v>
      </c>
      <c r="DL49" s="141" t="str">
        <f>IF(DL$2&gt;Input_Tidshorisont,BlankTegn,IF(DL$2=0,SUM(Materialedata[[#This Row],[A1-A3/m²]:[A4/m²]]),
DK49+IF(DL$2=Input_Tidshorisont,SUM(Materialedata[[#This Row],[C3/m²]:[C4/m²]]),IF(MOD(DL$2,Materialedata[[#This Row],[Levetid]])=0,SUM(Materialedata[[#This Row],[A1-A3/m²]:[C4/m²]]),0))
))</f>
        <v>.</v>
      </c>
      <c r="DM49" s="19"/>
    </row>
    <row r="50" spans="1:117">
      <c r="A50" s="324"/>
      <c r="B50" s="324"/>
      <c r="C50" s="91"/>
      <c r="D50" s="91"/>
      <c r="E50" s="325"/>
      <c r="F50" s="325"/>
      <c r="G50" s="326"/>
      <c r="H50" s="324"/>
      <c r="I50" s="324"/>
      <c r="J50" s="324"/>
      <c r="K50" s="325"/>
      <c r="L50" s="325"/>
      <c r="M50" s="324"/>
      <c r="N50" s="327"/>
      <c r="O50" s="324"/>
      <c r="P50" s="327"/>
      <c r="Q50" s="328"/>
      <c r="R50" s="329"/>
      <c r="S50" s="328"/>
      <c r="T50" s="330"/>
      <c r="U50" s="328"/>
      <c r="V50" s="19"/>
      <c r="W50" s="19"/>
      <c r="X50" s="19"/>
      <c r="Y50" s="19"/>
      <c r="Z50" s="19"/>
      <c r="AA50" s="19"/>
      <c r="AB50" s="19"/>
      <c r="AC50" s="324"/>
      <c r="AD50" s="324"/>
      <c r="AE50" s="325"/>
      <c r="AF50" s="325"/>
      <c r="AG50" s="331"/>
      <c r="AH50" s="327"/>
      <c r="AI50" s="332"/>
      <c r="AJ50" s="327"/>
      <c r="AK50" s="327"/>
      <c r="AL50" s="333"/>
      <c r="AM50" s="325"/>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row>
    <row r="51" spans="1:117">
      <c r="A51" s="324"/>
      <c r="B51" s="324"/>
      <c r="C51" s="91"/>
      <c r="D51" s="91"/>
      <c r="E51" s="325"/>
      <c r="F51" s="325"/>
      <c r="G51" s="326"/>
      <c r="H51" s="324"/>
      <c r="I51" s="324"/>
      <c r="J51" s="324"/>
      <c r="K51" s="325"/>
      <c r="L51" s="325"/>
      <c r="M51" s="324"/>
      <c r="N51" s="327"/>
      <c r="O51" s="324"/>
      <c r="P51" s="327"/>
      <c r="Q51" s="327"/>
      <c r="R51" s="334"/>
      <c r="S51" s="327"/>
      <c r="T51" s="19"/>
      <c r="U51" s="327"/>
      <c r="V51" s="19"/>
      <c r="W51" s="19"/>
      <c r="X51" s="19"/>
      <c r="Y51" s="19"/>
      <c r="Z51" s="19"/>
      <c r="AA51" s="19"/>
      <c r="AB51" s="19"/>
      <c r="AC51" s="324"/>
      <c r="AD51" s="325"/>
      <c r="AE51" s="325"/>
      <c r="AF51" s="325"/>
      <c r="AG51" s="331"/>
      <c r="AH51" s="327"/>
      <c r="AI51" s="332"/>
      <c r="AJ51" s="327"/>
      <c r="AK51" s="327"/>
      <c r="AL51" s="333"/>
      <c r="AM51" s="325"/>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row>
    <row r="52" spans="1:117" hidden="1">
      <c r="AD52" s="110"/>
    </row>
    <row r="53" spans="1:117" hidden="1">
      <c r="AD53" s="110"/>
    </row>
    <row r="54" spans="1:117" hidden="1">
      <c r="AD54" s="110"/>
    </row>
    <row r="55" spans="1:117" hidden="1">
      <c r="AD55" s="110"/>
    </row>
    <row r="56" spans="1:117" hidden="1">
      <c r="AD56" s="110"/>
    </row>
    <row r="57" spans="1:117" hidden="1">
      <c r="AD57" s="110"/>
    </row>
    <row r="58" spans="1:117" hidden="1">
      <c r="AD58" s="110"/>
    </row>
    <row r="59" spans="1:117" hidden="1">
      <c r="AD59" s="110"/>
    </row>
    <row r="60" spans="1:117" hidden="1">
      <c r="AD60" s="110"/>
    </row>
    <row r="61" spans="1:117" hidden="1">
      <c r="AD61" s="110"/>
    </row>
    <row r="62" spans="1:117" hidden="1">
      <c r="AD62" s="110"/>
    </row>
  </sheetData>
  <mergeCells count="8">
    <mergeCell ref="AJ1:AT1"/>
    <mergeCell ref="V1:W1"/>
    <mergeCell ref="X1:AB1"/>
    <mergeCell ref="I1:J1"/>
    <mergeCell ref="AG1:AH1"/>
    <mergeCell ref="K1:P1"/>
    <mergeCell ref="Q1:U1"/>
    <mergeCell ref="AC1:AF1"/>
  </mergeCells>
  <phoneticPr fontId="17" type="noConversion"/>
  <hyperlinks>
    <hyperlink ref="C3" r:id="rId1" xr:uid="{24B78312-D832-4AC7-99E5-30015C51ED5D}"/>
    <hyperlink ref="C5" r:id="rId2" xr:uid="{412C275A-45FB-40FF-A289-12E66C6CE497}"/>
    <hyperlink ref="C6" r:id="rId3" display="DS Stålprofil" xr:uid="{B1B2D424-6D2E-47A6-A2FE-1BA096208263}"/>
    <hyperlink ref="C7" r:id="rId4" xr:uid="{91F7923F-84A2-45C4-BB23-E83C68F7A44C}"/>
    <hyperlink ref="C4" r:id="rId5" display="Swisspearl" xr:uid="{BE5196C8-0010-46AF-B7C7-15292CE27D8A}"/>
    <hyperlink ref="C9" r:id="rId6" xr:uid="{F637B5E4-F40E-47FA-944B-14F79E8DAE0B}"/>
    <hyperlink ref="C29" r:id="rId7" xr:uid="{F6197EE6-BBC8-4BDA-82F6-54529EF26B13}"/>
    <hyperlink ref="C41" r:id="rId8" xr:uid="{C3D157C7-6627-4160-B9F9-AA656BB30012}"/>
    <hyperlink ref="C46" r:id="rId9" xr:uid="{D829C635-C9E1-4825-A1E7-499040E6F4DA}"/>
    <hyperlink ref="C39" r:id="rId10" xr:uid="{ED97EE01-7DA8-4B6A-A5C8-1C485CF1F165}"/>
    <hyperlink ref="C32" r:id="rId11" xr:uid="{903DA112-A3C6-4BE8-B67C-C761EC020142}"/>
    <hyperlink ref="C26" r:id="rId12" xr:uid="{CF13F1F9-34CD-48AD-9632-3154D409166C}"/>
    <hyperlink ref="C35" r:id="rId13" xr:uid="{AAF4AD02-347C-41D7-8F12-20A3944E0D20}"/>
    <hyperlink ref="C14" r:id="rId14" xr:uid="{0F857F16-F6C4-4A96-8D4F-3C1DE377BF6E}"/>
    <hyperlink ref="C17" r:id="rId15" xr:uid="{CF34468A-C66E-462A-AFE2-FCF8BC7F2EB6}"/>
    <hyperlink ref="C20" r:id="rId16" xr:uid="{37E67D31-2794-4566-A30B-5C7CE6030175}"/>
    <hyperlink ref="C40" r:id="rId17" xr:uid="{17E3B284-A220-4CAD-A406-1E95AE9F513C}"/>
    <hyperlink ref="C45" r:id="rId18" xr:uid="{B05E5D78-3460-48E4-88D6-7F980BA37E85}"/>
    <hyperlink ref="C47" r:id="rId19" display="Swisspearl" xr:uid="{FD3E6A93-2C9F-4D2B-80CD-D2B3D5B34F7D}"/>
    <hyperlink ref="C42" r:id="rId20" xr:uid="{901885B2-7FAB-4ACD-898A-9FB08B2EE1BD}"/>
    <hyperlink ref="C43" r:id="rId21" xr:uid="{6AC6BC13-7281-4C7E-AF17-788D6E925B0F}"/>
    <hyperlink ref="C11" r:id="rId22" display="Branched EPD" xr:uid="{BE533269-C1AF-488D-AF21-08DB865FF04C}"/>
    <hyperlink ref="C38" r:id="rId23" display="Branched EPD" xr:uid="{65DDA6AF-A6D4-4A05-B8F4-28EC24312AB4}"/>
    <hyperlink ref="C44" r:id="rId24" xr:uid="{4B5611D3-0278-47DB-9C3B-A0C406DAD113}"/>
    <hyperlink ref="C12" r:id="rId25" display="Branched EPD" xr:uid="{E8FA1C6B-435F-463B-8AD0-72ADFD82A5AE}"/>
    <hyperlink ref="C13" r:id="rId26" display="Branched EPD" xr:uid="{3F2847E8-5DCC-4DBD-B8AC-76917B94DA19}"/>
    <hyperlink ref="C15:C16" r:id="rId27" display="BUILD LCA data" xr:uid="{1A2442FF-6387-4D75-9685-FA92C71AFAA2}"/>
    <hyperlink ref="C18" r:id="rId28" xr:uid="{87123E9D-7A9F-4A69-A11E-F5144A876AEB}"/>
    <hyperlink ref="C19" r:id="rId29" xr:uid="{D2A97732-F746-4EF9-B481-2B27ECE2EFD8}"/>
    <hyperlink ref="C48" r:id="rId30" xr:uid="{90D0A7D6-E85E-4010-AEB4-4AE75FDC8656}"/>
    <hyperlink ref="C21" r:id="rId31" xr:uid="{47AF246D-8A85-42BD-867B-A3EA9B4CF9BB}"/>
    <hyperlink ref="C22" r:id="rId32" xr:uid="{F77F1015-857A-4E0F-87B3-2CE3E50291AB}"/>
    <hyperlink ref="C27" r:id="rId33" xr:uid="{F8D238C1-AC9D-4383-8B0A-B479549E342E}"/>
    <hyperlink ref="C28" r:id="rId34" xr:uid="{FE00FB0B-E386-4706-8707-874674872A83}"/>
    <hyperlink ref="C33" r:id="rId35" xr:uid="{7791648E-7863-4EE0-AC10-1D3CD49F6125}"/>
    <hyperlink ref="C34" r:id="rId36" xr:uid="{F9E83C7F-90F9-47AB-B17F-5F3F2B6C4C99}"/>
    <hyperlink ref="C36" r:id="rId37" xr:uid="{FA22CEF7-B189-47C1-90D7-86DD2C71B8C2}"/>
    <hyperlink ref="C37" r:id="rId38" xr:uid="{C42547B4-E325-4489-96A5-50ADB2A5AB5A}"/>
    <hyperlink ref="C30" r:id="rId39" xr:uid="{676734EC-F3E9-4D39-A249-CE7202737B80}"/>
    <hyperlink ref="C31" r:id="rId40" xr:uid="{AD0610E0-1111-444B-9D39-F4DC274D7930}"/>
    <hyperlink ref="C25" r:id="rId41" xr:uid="{5A6C4DC6-7BC3-4C60-BF4A-959A52C5663A}"/>
    <hyperlink ref="C8" r:id="rId42" xr:uid="{9CF91474-298E-40C8-BBDA-2FBDE6A47368}"/>
    <hyperlink ref="C49" r:id="rId43" xr:uid="{3019A79E-4637-4468-B2F1-D1AB2FF929BD}"/>
    <hyperlink ref="D40" r:id="rId44" location="description" display="https://www.profilmetal.dk/produkt/hatteprofil-50-25-70-25-50x2500-mm/?attribute_pa_farve=aluzink&amp;attribute_pa_garanti=20-aars-garanti&amp;utm_source=Google+Shopping&amp;utm_medium=cpc&amp;utm_campaign=Google+Shopping&amp;gad_source=1&amp;gclid=Cj0KCQjwncWvBhD_ARIsAEb2HW_-vKxw4FvSRa-vlouc3Bs_mGhQU9RG_UINOzHt9d7tm_hLBo36VvQaAmKvEALw_wcB#description" xr:uid="{CC50657A-2516-4E73-A55C-916B08CD7CB4}"/>
    <hyperlink ref="D39" r:id="rId45" xr:uid="{B1DD23A0-668D-4660-8B92-33CDA2316E13}"/>
    <hyperlink ref="D17" r:id="rId46" xr:uid="{1533D424-7CF9-4841-88AD-68FC1B7082D6}"/>
    <hyperlink ref="D11" r:id="rId47" xr:uid="{AE5AF74F-667B-403B-B8FE-3EC32C4C6DC4}"/>
    <hyperlink ref="D14" r:id="rId48" xr:uid="{64F6ECCC-6676-4BE3-8D59-65E0F58A8641}"/>
    <hyperlink ref="D47" r:id="rId49" location=":~:text=Falco%20cementsp%C3%A5nplader%20leveres%20ubehandlet%20og,de%20tekniske%20krav%20i%20byggebranchen." xr:uid="{1CC17A9E-F04F-40B9-9BB8-C90EA63499B5}"/>
    <hyperlink ref="D46" r:id="rId50" location="specifications-anchor" xr:uid="{5527BB91-CD34-43E8-9323-D6601E6748F3}"/>
    <hyperlink ref="D45" r:id="rId51" xr:uid="{2C06509D-6462-4620-B3D4-E778262A2DB1}"/>
    <hyperlink ref="D43" r:id="rId52" xr:uid="{F2FA9468-86EF-4EBE-A71B-C530030730A7}"/>
    <hyperlink ref="D42" r:id="rId53" xr:uid="{719A738C-21E9-435C-87F6-22D56E46E944}"/>
    <hyperlink ref="D41" r:id="rId54" xr:uid="{63BD3DB5-2EEA-46F8-919B-1EC5E2CA3AC1}"/>
    <hyperlink ref="D3" r:id="rId55" xr:uid="{CEE882F2-2836-4BFB-9167-1DF5731DA45B}"/>
    <hyperlink ref="D6" r:id="rId56" display="https://karlmolin.com/shop/42-trapez/378-trapez-mvp-20100/" xr:uid="{E6C27CF1-A306-4DF1-A8FB-B847422BE7E8}"/>
    <hyperlink ref="D4" r:id="rId57" xr:uid="{E1AC4E03-D177-4BB8-B2FA-413DEFF43A3F}"/>
    <hyperlink ref="D8" r:id="rId58" xr:uid="{9DB60C24-8754-4695-96D7-E4487C73FD54}"/>
    <hyperlink ref="D9" r:id="rId59" xr:uid="{4D5BC78D-AE09-44A1-BB7F-3B394D506DBE}"/>
    <hyperlink ref="D7" r:id="rId60" display="https://komproment.dk/produkt/tempel-earth/dark-grey/" xr:uid="{BA11BF99-4A7F-4321-A0FD-B10A3829906D}"/>
    <hyperlink ref="C24" r:id="rId61" xr:uid="{EF23CCC4-75E7-42BF-8AE7-83F4894E0BFD}"/>
    <hyperlink ref="C23" r:id="rId62" xr:uid="{6A43A8F6-BC5D-402B-9561-A8BE2A172C77}"/>
    <hyperlink ref="D23" r:id="rId63" xr:uid="{E703A00D-BEA7-4AD0-B03E-DB1E2F7BF87E}"/>
    <hyperlink ref="D35" r:id="rId64" xr:uid="{6A0F9A06-DC87-4E3E-A4D9-1FBB43B0834E}"/>
  </hyperlinks>
  <pageMargins left="0.7" right="0.7" top="0.75" bottom="0.75" header="0.3" footer="0.3"/>
  <legacyDrawing r:id="rId65"/>
  <tableParts count="1">
    <tablePart r:id="rId66"/>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F9BAD-F8E2-4A84-AECB-430719D45F61}">
  <sheetPr codeName="Sheet13">
    <tabColor theme="0" tint="-0.249977111117893"/>
  </sheetPr>
  <dimension ref="A1:J35"/>
  <sheetViews>
    <sheetView zoomScaleNormal="100" workbookViewId="0"/>
  </sheetViews>
  <sheetFormatPr defaultColWidth="0" defaultRowHeight="15" zeroHeight="1"/>
  <cols>
    <col min="1" max="1" width="14.42578125" bestFit="1" customWidth="1"/>
    <col min="2" max="2" width="34.140625" bestFit="1" customWidth="1"/>
    <col min="3" max="3" width="11.140625" bestFit="1" customWidth="1"/>
    <col min="4" max="4" width="50.28515625" bestFit="1" customWidth="1"/>
    <col min="5" max="10" width="8.85546875" customWidth="1"/>
    <col min="11" max="16384" width="8.85546875" hidden="1"/>
  </cols>
  <sheetData>
    <row r="1" spans="1:10" ht="19.5" thickBot="1">
      <c r="A1" s="2"/>
      <c r="B1" s="2" t="s">
        <v>199</v>
      </c>
      <c r="C1" s="337" t="s">
        <v>200</v>
      </c>
      <c r="D1" s="340" t="s">
        <v>201</v>
      </c>
      <c r="E1" s="19"/>
      <c r="F1" s="19"/>
      <c r="G1" s="19"/>
      <c r="H1" s="19"/>
      <c r="I1" s="19"/>
      <c r="J1" s="19"/>
    </row>
    <row r="2" spans="1:10" ht="45.75" thickTop="1">
      <c r="A2" s="19"/>
      <c r="B2" s="19"/>
      <c r="C2" s="339" t="s">
        <v>394</v>
      </c>
      <c r="D2" s="19"/>
      <c r="E2" s="19"/>
      <c r="F2" s="19"/>
      <c r="G2" s="19"/>
      <c r="H2" s="19"/>
      <c r="I2" s="19"/>
      <c r="J2" s="19"/>
    </row>
    <row r="3" spans="1:10">
      <c r="A3" s="50" t="s">
        <v>291</v>
      </c>
      <c r="B3" s="50" t="s">
        <v>202</v>
      </c>
      <c r="C3" s="50" t="s">
        <v>393</v>
      </c>
      <c r="D3" s="19"/>
      <c r="E3" s="19"/>
      <c r="F3" s="19"/>
      <c r="G3" s="19"/>
      <c r="H3" s="19"/>
      <c r="I3" s="19"/>
      <c r="J3" s="19"/>
    </row>
    <row r="4" spans="1:10">
      <c r="A4" s="7" t="s">
        <v>203</v>
      </c>
      <c r="B4" s="7" t="s">
        <v>204</v>
      </c>
      <c r="C4" s="7">
        <v>1.1599999999999999E-2</v>
      </c>
      <c r="D4" s="19"/>
      <c r="E4" s="19"/>
      <c r="F4" s="19"/>
      <c r="G4" s="19"/>
      <c r="H4" s="19"/>
      <c r="I4" s="19"/>
      <c r="J4" s="19"/>
    </row>
    <row r="5" spans="1:10">
      <c r="A5" s="7" t="s">
        <v>203</v>
      </c>
      <c r="B5" s="7" t="s">
        <v>43</v>
      </c>
      <c r="C5" s="7">
        <v>4.5999999999999999E-2</v>
      </c>
      <c r="D5" s="19"/>
      <c r="E5" s="19"/>
      <c r="F5" s="19"/>
      <c r="G5" s="19"/>
      <c r="H5" s="19"/>
      <c r="I5" s="19"/>
      <c r="J5" s="19"/>
    </row>
    <row r="6" spans="1:10">
      <c r="A6" s="7" t="s">
        <v>205</v>
      </c>
      <c r="B6" s="7" t="s">
        <v>206</v>
      </c>
      <c r="C6" s="7">
        <v>7.4000000000000003E-3</v>
      </c>
      <c r="D6" s="19"/>
      <c r="E6" s="19"/>
      <c r="F6" s="19"/>
      <c r="G6" s="19"/>
      <c r="H6" s="19"/>
      <c r="I6" s="19"/>
      <c r="J6" s="19"/>
    </row>
    <row r="7" spans="1:10">
      <c r="A7" s="7" t="s">
        <v>205</v>
      </c>
      <c r="B7" s="7" t="s">
        <v>207</v>
      </c>
      <c r="C7" s="7">
        <v>4.9099999999999998E-2</v>
      </c>
      <c r="D7" s="19"/>
      <c r="E7" s="19"/>
      <c r="F7" s="19"/>
      <c r="G7" s="19"/>
      <c r="H7" s="19"/>
      <c r="I7" s="19"/>
      <c r="J7" s="19"/>
    </row>
    <row r="8" spans="1:10">
      <c r="A8" s="7" t="s">
        <v>205</v>
      </c>
      <c r="B8" s="7" t="s">
        <v>208</v>
      </c>
      <c r="C8" s="7">
        <v>8.14E-2</v>
      </c>
      <c r="D8" s="19"/>
      <c r="E8" s="19"/>
      <c r="F8" s="19"/>
      <c r="G8" s="19"/>
      <c r="H8" s="19"/>
      <c r="I8" s="19"/>
      <c r="J8" s="19"/>
    </row>
    <row r="9" spans="1:10">
      <c r="A9" s="7" t="s">
        <v>203</v>
      </c>
      <c r="B9" s="7" t="s">
        <v>135</v>
      </c>
      <c r="C9" s="7">
        <v>1.0800000000000001E-2</v>
      </c>
      <c r="D9" s="19"/>
      <c r="E9" s="19"/>
      <c r="F9" s="19"/>
      <c r="G9" s="19"/>
      <c r="H9" s="19"/>
      <c r="I9" s="19"/>
      <c r="J9" s="19"/>
    </row>
    <row r="10" spans="1:10">
      <c r="A10" s="7" t="s">
        <v>205</v>
      </c>
      <c r="B10" s="7" t="s">
        <v>209</v>
      </c>
      <c r="C10" s="7">
        <v>1.24E-2</v>
      </c>
      <c r="D10" s="19"/>
      <c r="E10" s="19"/>
      <c r="F10" s="19"/>
      <c r="G10" s="19"/>
      <c r="H10" s="19"/>
      <c r="I10" s="19"/>
      <c r="J10" s="19"/>
    </row>
    <row r="11" spans="1:10">
      <c r="A11" s="7" t="s">
        <v>203</v>
      </c>
      <c r="B11" s="7" t="s">
        <v>41</v>
      </c>
      <c r="C11" s="7">
        <v>8.6E-3</v>
      </c>
      <c r="D11" s="19"/>
      <c r="E11" s="19"/>
      <c r="F11" s="19"/>
      <c r="G11" s="19"/>
      <c r="H11" s="19"/>
      <c r="I11" s="19"/>
      <c r="J11" s="19"/>
    </row>
    <row r="12" spans="1:10">
      <c r="A12" s="7" t="s">
        <v>203</v>
      </c>
      <c r="B12" s="7" t="s">
        <v>210</v>
      </c>
      <c r="C12" s="7">
        <v>1.8800000000000001E-2</v>
      </c>
      <c r="D12" s="19"/>
      <c r="E12" s="19"/>
      <c r="F12" s="19"/>
      <c r="G12" s="19"/>
      <c r="H12" s="19"/>
      <c r="I12" s="19"/>
      <c r="J12" s="19"/>
    </row>
    <row r="13" spans="1:10">
      <c r="A13" s="7" t="s">
        <v>205</v>
      </c>
      <c r="B13" s="7" t="s">
        <v>211</v>
      </c>
      <c r="C13" s="7">
        <v>1.66E-2</v>
      </c>
      <c r="D13" s="19"/>
      <c r="E13" s="19"/>
      <c r="F13" s="19"/>
      <c r="G13" s="19"/>
      <c r="H13" s="19"/>
      <c r="I13" s="19"/>
      <c r="J13" s="19"/>
    </row>
    <row r="14" spans="1:10">
      <c r="A14" s="7" t="s">
        <v>205</v>
      </c>
      <c r="B14" s="7" t="s">
        <v>212</v>
      </c>
      <c r="C14" s="7">
        <v>2.0899999999999998E-2</v>
      </c>
      <c r="D14" s="19"/>
      <c r="E14" s="19"/>
      <c r="F14" s="19"/>
      <c r="G14" s="19"/>
      <c r="H14" s="19"/>
      <c r="I14" s="19"/>
      <c r="J14" s="19"/>
    </row>
    <row r="15" spans="1:10">
      <c r="A15" s="7" t="s">
        <v>203</v>
      </c>
      <c r="B15" s="7" t="s">
        <v>213</v>
      </c>
      <c r="C15" s="7">
        <v>6.7999999999999996E-3</v>
      </c>
      <c r="D15" s="19"/>
      <c r="E15" s="19"/>
      <c r="F15" s="19"/>
      <c r="G15" s="19"/>
      <c r="H15" s="19"/>
      <c r="I15" s="19"/>
      <c r="J15" s="19"/>
    </row>
    <row r="16" spans="1:10">
      <c r="A16" s="7" t="s">
        <v>205</v>
      </c>
      <c r="B16" s="7" t="s">
        <v>214</v>
      </c>
      <c r="C16" s="7">
        <v>4.4999999999999997E-3</v>
      </c>
      <c r="D16" s="19"/>
      <c r="E16" s="19"/>
      <c r="F16" s="19"/>
      <c r="G16" s="19"/>
      <c r="H16" s="19"/>
      <c r="I16" s="19"/>
      <c r="J16" s="19"/>
    </row>
    <row r="17" spans="1:10">
      <c r="A17" s="7" t="s">
        <v>203</v>
      </c>
      <c r="B17" s="7" t="s">
        <v>215</v>
      </c>
      <c r="C17" s="7">
        <v>9.5100000000000004E-2</v>
      </c>
      <c r="D17" s="19"/>
      <c r="E17" s="19"/>
      <c r="F17" s="19"/>
      <c r="G17" s="19"/>
      <c r="H17" s="19"/>
      <c r="I17" s="19"/>
      <c r="J17" s="19"/>
    </row>
    <row r="18" spans="1:10">
      <c r="A18" s="7" t="s">
        <v>205</v>
      </c>
      <c r="B18" s="7" t="s">
        <v>216</v>
      </c>
      <c r="C18" s="7">
        <v>4.1000000000000003E-3</v>
      </c>
      <c r="D18" s="19"/>
      <c r="E18" s="19"/>
      <c r="F18" s="19"/>
      <c r="G18" s="19"/>
      <c r="H18" s="19"/>
      <c r="I18" s="19"/>
      <c r="J18" s="19"/>
    </row>
    <row r="19" spans="1:10">
      <c r="A19" s="7" t="s">
        <v>205</v>
      </c>
      <c r="B19" s="7" t="s">
        <v>130</v>
      </c>
      <c r="C19" s="7">
        <v>0.2011</v>
      </c>
      <c r="D19" s="19"/>
      <c r="E19" s="19"/>
      <c r="F19" s="19"/>
      <c r="G19" s="19"/>
      <c r="H19" s="19"/>
      <c r="I19" s="19"/>
      <c r="J19" s="19"/>
    </row>
    <row r="20" spans="1:10">
      <c r="A20" s="7" t="s">
        <v>205</v>
      </c>
      <c r="B20" s="7" t="s">
        <v>217</v>
      </c>
      <c r="C20" s="7">
        <v>0.105</v>
      </c>
      <c r="D20" s="19"/>
      <c r="E20" s="19"/>
      <c r="F20" s="19"/>
      <c r="G20" s="19"/>
      <c r="H20" s="19"/>
      <c r="I20" s="19"/>
      <c r="J20" s="19"/>
    </row>
    <row r="21" spans="1:10">
      <c r="A21" s="7" t="s">
        <v>203</v>
      </c>
      <c r="B21" s="7" t="s">
        <v>218</v>
      </c>
      <c r="C21" s="7">
        <v>6.1400000000000003E-2</v>
      </c>
      <c r="D21" s="19"/>
      <c r="E21" s="19"/>
      <c r="F21" s="19"/>
      <c r="G21" s="19"/>
      <c r="H21" s="19"/>
      <c r="I21" s="19"/>
      <c r="J21" s="19"/>
    </row>
    <row r="22" spans="1:10">
      <c r="A22" s="7" t="s">
        <v>203</v>
      </c>
      <c r="B22" s="7" t="s">
        <v>97</v>
      </c>
      <c r="C22" s="7">
        <v>4.9500000000000002E-2</v>
      </c>
      <c r="D22" s="19"/>
      <c r="E22" s="19"/>
      <c r="F22" s="19"/>
      <c r="G22" s="19"/>
      <c r="H22" s="19"/>
      <c r="I22" s="19"/>
      <c r="J22" s="19"/>
    </row>
    <row r="23" spans="1:10">
      <c r="A23" s="7" t="s">
        <v>205</v>
      </c>
      <c r="B23" s="7" t="s">
        <v>219</v>
      </c>
      <c r="C23" s="7">
        <v>6.0900000000000003E-2</v>
      </c>
      <c r="D23" s="19"/>
      <c r="E23" s="19"/>
      <c r="F23" s="19"/>
      <c r="G23" s="19"/>
      <c r="H23" s="19"/>
      <c r="I23" s="19"/>
      <c r="J23" s="19"/>
    </row>
    <row r="24" spans="1:10">
      <c r="A24" s="7" t="s">
        <v>205</v>
      </c>
      <c r="B24" s="7" t="s">
        <v>220</v>
      </c>
      <c r="C24" s="7">
        <v>9.1999999999999998E-2</v>
      </c>
      <c r="D24" s="19"/>
      <c r="E24" s="19"/>
      <c r="F24" s="19"/>
      <c r="G24" s="19"/>
      <c r="H24" s="19"/>
      <c r="I24" s="19"/>
      <c r="J24" s="19"/>
    </row>
    <row r="25" spans="1:10">
      <c r="A25" s="7" t="s">
        <v>205</v>
      </c>
      <c r="B25" s="7" t="s">
        <v>221</v>
      </c>
      <c r="C25" s="7">
        <v>1.9599999999999999E-2</v>
      </c>
      <c r="D25" s="19"/>
      <c r="E25" s="19"/>
      <c r="F25" s="19"/>
      <c r="G25" s="19"/>
      <c r="H25" s="19"/>
      <c r="I25" s="19"/>
      <c r="J25" s="19"/>
    </row>
    <row r="26" spans="1:10">
      <c r="A26" s="7" t="s">
        <v>203</v>
      </c>
      <c r="B26" s="7" t="s">
        <v>222</v>
      </c>
      <c r="C26" s="7">
        <v>0.50860000000000005</v>
      </c>
      <c r="D26" s="19"/>
      <c r="E26" s="19"/>
      <c r="F26" s="19"/>
      <c r="G26" s="19"/>
      <c r="H26" s="19"/>
      <c r="I26" s="19"/>
      <c r="J26" s="19"/>
    </row>
    <row r="27" spans="1:10">
      <c r="A27" s="7" t="s">
        <v>203</v>
      </c>
      <c r="B27" s="7" t="s">
        <v>223</v>
      </c>
      <c r="C27" s="7">
        <v>0.1041</v>
      </c>
      <c r="D27" s="19"/>
      <c r="E27" s="19"/>
      <c r="F27" s="19"/>
      <c r="G27" s="19"/>
      <c r="H27" s="19"/>
      <c r="I27" s="19"/>
      <c r="J27" s="19"/>
    </row>
    <row r="28" spans="1:10">
      <c r="A28" s="7" t="s">
        <v>205</v>
      </c>
      <c r="B28" s="7" t="s">
        <v>224</v>
      </c>
      <c r="C28" s="7">
        <v>0.29599999999999999</v>
      </c>
      <c r="D28" s="19"/>
      <c r="E28" s="19"/>
      <c r="F28" s="19"/>
      <c r="G28" s="19"/>
      <c r="H28" s="19"/>
      <c r="I28" s="19"/>
      <c r="J28" s="19"/>
    </row>
    <row r="29" spans="1:10">
      <c r="A29" s="7" t="s">
        <v>205</v>
      </c>
      <c r="B29" s="7" t="s">
        <v>225</v>
      </c>
      <c r="C29" s="7">
        <v>5.6099999999999997E-2</v>
      </c>
      <c r="D29" s="19"/>
      <c r="E29" s="19"/>
      <c r="F29" s="19"/>
      <c r="G29" s="19"/>
      <c r="H29" s="19"/>
      <c r="I29" s="19"/>
      <c r="J29" s="19"/>
    </row>
    <row r="30" spans="1:10">
      <c r="A30" s="19"/>
      <c r="B30" s="19"/>
      <c r="C30" s="19"/>
      <c r="D30" s="19"/>
      <c r="E30" s="19"/>
      <c r="F30" s="19"/>
      <c r="G30" s="19"/>
      <c r="H30" s="19"/>
      <c r="I30" s="19"/>
      <c r="J30" s="19"/>
    </row>
    <row r="31" spans="1:10" ht="19.5" thickBot="1">
      <c r="A31" s="2"/>
      <c r="B31" s="2" t="s">
        <v>226</v>
      </c>
      <c r="C31" s="19"/>
      <c r="D31" s="19"/>
      <c r="E31" s="19"/>
      <c r="F31" s="19"/>
      <c r="G31" s="19"/>
      <c r="H31" s="19"/>
      <c r="I31" s="19"/>
      <c r="J31" s="19"/>
    </row>
    <row r="32" spans="1:10" ht="15.75" thickTop="1">
      <c r="A32" s="19"/>
      <c r="B32" s="19"/>
      <c r="C32" s="19"/>
      <c r="D32" s="19"/>
      <c r="E32" s="19"/>
      <c r="F32" s="19"/>
      <c r="G32" s="19"/>
      <c r="H32" s="19"/>
      <c r="I32" s="19"/>
      <c r="J32" s="19"/>
    </row>
    <row r="33" spans="1:10">
      <c r="A33" s="561" t="s">
        <v>227</v>
      </c>
      <c r="B33" s="561"/>
      <c r="C33" s="214">
        <v>0.25</v>
      </c>
      <c r="D33" s="19" t="s">
        <v>228</v>
      </c>
      <c r="E33" s="19"/>
      <c r="F33" s="19"/>
      <c r="G33" s="19"/>
      <c r="H33" s="19"/>
      <c r="I33" s="19"/>
      <c r="J33" s="19"/>
    </row>
    <row r="34" spans="1:10">
      <c r="A34" s="19"/>
      <c r="B34" s="19"/>
      <c r="C34" s="19"/>
      <c r="D34" s="19"/>
      <c r="E34" s="19"/>
      <c r="F34" s="19"/>
      <c r="G34" s="19"/>
      <c r="H34" s="19"/>
      <c r="I34" s="19"/>
      <c r="J34" s="19"/>
    </row>
    <row r="35" spans="1:10">
      <c r="A35" s="19"/>
      <c r="B35" s="19"/>
      <c r="C35" s="19"/>
      <c r="D35" s="19"/>
      <c r="E35" s="19"/>
      <c r="F35" s="19"/>
      <c r="G35" s="19"/>
      <c r="H35" s="19"/>
      <c r="I35" s="19"/>
      <c r="J35" s="19"/>
    </row>
  </sheetData>
  <mergeCells count="1">
    <mergeCell ref="A33:B33"/>
  </mergeCells>
  <hyperlinks>
    <hyperlink ref="D1" r:id="rId1" xr:uid="{35D0B252-E293-48A2-81C5-447BE1AEBA00}"/>
  </hyperlinks>
  <pageMargins left="0.7" right="0.7" top="0.75" bottom="0.75" header="0.3" footer="0.3"/>
  <drawing r:id="rId2"/>
  <legacy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9CCFF-B22F-487C-9CE9-F8B633A4DC7C}">
  <sheetPr>
    <tabColor theme="0" tint="-0.249977111117893"/>
  </sheetPr>
  <dimension ref="A1:E11"/>
  <sheetViews>
    <sheetView workbookViewId="0">
      <selection sqref="A1:D1"/>
    </sheetView>
  </sheetViews>
  <sheetFormatPr defaultColWidth="0" defaultRowHeight="15" zeroHeight="1"/>
  <cols>
    <col min="1" max="1" width="10.28515625" bestFit="1" customWidth="1"/>
    <col min="2" max="2" width="8.85546875" bestFit="1" customWidth="1"/>
    <col min="3" max="3" width="13.140625" bestFit="1" customWidth="1"/>
    <col min="4" max="4" width="25" bestFit="1" customWidth="1"/>
    <col min="5" max="5" width="8.7109375" customWidth="1"/>
    <col min="6" max="16384" width="8.7109375" hidden="1"/>
  </cols>
  <sheetData>
    <row r="1" spans="1:5" ht="29.1" customHeight="1">
      <c r="A1" s="556" t="s">
        <v>380</v>
      </c>
      <c r="B1" s="557"/>
      <c r="C1" s="557"/>
      <c r="D1" s="558"/>
      <c r="E1" s="19"/>
    </row>
    <row r="2" spans="1:5">
      <c r="A2" s="197" t="s">
        <v>379</v>
      </c>
      <c r="B2" s="198" t="s">
        <v>132</v>
      </c>
      <c r="C2" s="197" t="s">
        <v>190</v>
      </c>
      <c r="D2" s="197" t="s">
        <v>193</v>
      </c>
      <c r="E2" s="19"/>
    </row>
    <row r="3" spans="1:5">
      <c r="A3" t="s">
        <v>100</v>
      </c>
      <c r="B3">
        <f>Materialedata!Q5</f>
        <v>4.9951999999999996</v>
      </c>
      <c r="C3">
        <f>Materialedata!Q48</f>
        <v>1.4712669999999999</v>
      </c>
      <c r="D3">
        <f>Materialedata!Q49</f>
        <v>0.31374999999999997</v>
      </c>
      <c r="E3" s="19"/>
    </row>
    <row r="4" spans="1:5">
      <c r="A4" t="s">
        <v>70</v>
      </c>
      <c r="B4">
        <f>Materialedata!S5</f>
        <v>0</v>
      </c>
      <c r="C4">
        <f>Materialedata!S48</f>
        <v>0</v>
      </c>
      <c r="D4">
        <f>Materialedata!S49</f>
        <v>7.775E-2</v>
      </c>
      <c r="E4" s="19"/>
    </row>
    <row r="5" spans="1:5">
      <c r="A5" t="s">
        <v>72</v>
      </c>
      <c r="B5">
        <f>Materialedata!T5</f>
        <v>6.5071999999999991E-2</v>
      </c>
      <c r="C5">
        <f>Materialedata!T48</f>
        <v>1.1375629999999999E-2</v>
      </c>
      <c r="D5">
        <f>Materialedata!T49</f>
        <v>0</v>
      </c>
      <c r="E5" s="19"/>
    </row>
    <row r="6" spans="1:5">
      <c r="A6" s="19"/>
      <c r="B6" s="19"/>
      <c r="C6" s="19"/>
      <c r="D6" s="19"/>
      <c r="E6" s="19"/>
    </row>
    <row r="7" spans="1:5">
      <c r="A7" s="19"/>
      <c r="B7" s="19"/>
      <c r="C7" s="19"/>
      <c r="D7" s="19"/>
      <c r="E7" s="19"/>
    </row>
    <row r="11" spans="1:5" hidden="1">
      <c r="A11" s="172"/>
    </row>
  </sheetData>
  <mergeCells count="1">
    <mergeCell ref="A1:D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DF22F492AE8914D8B73C3E3C23F308D" ma:contentTypeVersion="31" ma:contentTypeDescription="Opret et nyt dokument." ma:contentTypeScope="" ma:versionID="1028beaa144d05e948369b987caf50e3">
  <xsd:schema xmlns:xsd="http://www.w3.org/2001/XMLSchema" xmlns:xs="http://www.w3.org/2001/XMLSchema" xmlns:p="http://schemas.microsoft.com/office/2006/metadata/properties" xmlns:ns1="http://schemas.microsoft.com/sharepoint/v3" xmlns:ns2="b1cfadd8-d294-4d34-bc36-10edd03a80b3" xmlns:ns3="57e246f5-a181-4ddd-bcfa-8f2bd33c0c9c" targetNamespace="http://schemas.microsoft.com/office/2006/metadata/properties" ma:root="true" ma:fieldsID="9e062dd460a46b14fcff5ecb85d09ee7" ns1:_="" ns2:_="" ns3:_="">
    <xsd:import namespace="http://schemas.microsoft.com/sharepoint/v3"/>
    <xsd:import namespace="b1cfadd8-d294-4d34-bc36-10edd03a80b3"/>
    <xsd:import namespace="57e246f5-a181-4ddd-bcfa-8f2bd33c0c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Filtype"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Test"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genskaber for Unified Compliance Policy" ma:hidden="true" ma:internalName="_ip_UnifiedCompliancePolicyProperties">
      <xsd:simpleType>
        <xsd:restriction base="dms:Note"/>
      </xsd:simpleType>
    </xsd:element>
    <xsd:element name="_ip_UnifiedCompliancePolicyUIAction" ma:index="21" nillable="true" ma:displayName="Handling for Unified Compliance Policy-grænseflad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cfadd8-d294-4d34-bc36-10edd03a80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dexed="true"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Filtype" ma:index="17" nillable="true" ma:displayName="Filtype" ma:format="Dropdown" ma:indexed="true" ma:internalName="Filtype">
      <xsd:simpleType>
        <xsd:restriction base="dms:Text">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ledmærker" ma:readOnly="false" ma:fieldId="{5cf76f15-5ced-4ddc-b409-7134ff3c332f}" ma:taxonomyMulti="true" ma:sspId="fcff2bff-98dc-460d-973e-03f7511429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Test" ma:index="28" nillable="true" ma:displayName="Test" ma:format="Dropdown" ma:list="UserInfo" ma:SharePointGroup="0" ma:internalName="Tes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e246f5-a181-4ddd-bcfa-8f2bd33c0c9c" elementFormDefault="qualified">
    <xsd:import namespace="http://schemas.microsoft.com/office/2006/documentManagement/types"/>
    <xsd:import namespace="http://schemas.microsoft.com/office/infopath/2007/PartnerControls"/>
    <xsd:element name="SharedWithUsers" ma:index="18"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t med detaljer" ma:internalName="SharedWithDetails" ma:readOnly="true">
      <xsd:simpleType>
        <xsd:restriction base="dms:Note">
          <xsd:maxLength value="255"/>
        </xsd:restriction>
      </xsd:simpleType>
    </xsd:element>
    <xsd:element name="TaxCatchAll" ma:index="26" nillable="true" ma:displayName="Taxonomy Catch All Column" ma:hidden="true" ma:list="{4651abdf-1673-48e2-821d-f5cd0b68c3fe}" ma:internalName="TaxCatchAll" ma:showField="CatchAllData" ma:web="57e246f5-a181-4ddd-bcfa-8f2bd33c0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F 2 Z W C X / F T i l A A A A 9 g A A A B I A H A B D b 2 5 m a W c v U G F j a 2 F n Z S 5 4 b W w g o h g A K K A U A A A A A A A A A A A A A A A A A A A A A A A A A A A A h Y 9 B D o I w F E S v Q r q n L T U m h H z K Q n d K Y m J i 3 D a 1 Q i N 8 D B T L 3 V x 4 J K 8 g R l F 3 L u f N W 8 z c r z f I h r o K L q b t b I M p i S g n g U H d H C w W K e n d M Y x J J m G j 9 E k V J h h l 7 J K h O 6 S k d O 6 c M O a 9 p 3 5 G m 7 Z g g v O I 7 f P 1 V p e m V u Q j 2 / 9 y a L F z C r U h E n a v M V L Q S M R U z A X l w C Y I u c W v I M a 9 z / Y H w q K v X N 8 a a T B c r o B N E d j 7 g 3 w A U E s D B B Q A A g A I A P x d m 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8 X Z l Y K I p H u A 4 A A A A R A A A A E w A c A E Z v c m 1 1 b G F z L 1 N l Y 3 R p b 2 4 x L m 0 g o h g A K K A U A A A A A A A A A A A A A A A A A A A A A A A A A A A A K 0 5 N L s n M z 1 M I h t C G 1 g B Q S w E C L Q A U A A I A C A D 8 X Z l Y J f 8 V O K U A A A D 2 A A A A E g A A A A A A A A A A A A A A A A A A A A A A Q 2 9 u Z m l n L 1 B h Y 2 t h Z 2 U u e G 1 s U E s B A i 0 A F A A C A A g A / F 2 Z W A / K 6 a u k A A A A 6 Q A A A B M A A A A A A A A A A A A A A A A A 8 Q A A A F t D b 2 5 0 Z W 5 0 X 1 R 5 c G V z X S 5 4 b W x Q S w E C L Q A U A A I A C A D 8 X Z l 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Z A Q A A A A A A A D c 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L 0 l 0 Z W 1 z P j w v T G 9 j Y W x Q Y W N r Y W d l T W V 0 Y W R h d G F G a W x l P h Y A A A B Q S w U G A A A A A A A A A A A A A A A A A A A A A A A A J g E A A A E A A A D Q j J 3 f A R X R E Y x 6 A M B P w p f r A Q A A A M z P 0 Y n K b t B H m V 9 Z 2 l B U b F Y A A A A A A g A A A A A A E G Y A A A A B A A A g A A A A d p z 2 i 6 t + j y F Z F T H u d k v 5 M 6 9 H w 7 j 6 + Q j u T j j P 1 N 6 2 3 6 I A A A A A D o A A A A A C A A A g A A A A 3 + 4 v Z c M p T f S c s / U W f j X R + 0 g 1 F w k T P p X U Y g 1 X l I U N 2 H 1 Q A A A A d U y i w A 8 V y m S l R B Z N N w + L O N V P C L 3 s z D g k f n u k p F 6 Z j R z K k l p n L S t m T p d c D + T q n G f D t p h J e w n L 0 P a v E 2 t 0 M c e u c t W G r G F H t N 5 l w L o 1 R 4 q P D U V A A A A A X A W Q 9 c H s i 5 1 m y 1 W f Y 0 X 9 L U V l t 3 e w 8 3 e h 4 s L t f 9 3 f P 6 + e 1 b t H S s h s X R 6 r 4 B J s 7 s R + Y x 5 a l P + W o y F W O V K 7 l R W W 4 g = = < / 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57e246f5-a181-4ddd-bcfa-8f2bd33c0c9c" xsi:nil="true"/>
    <_ip_UnifiedCompliancePolicyUIAction xmlns="http://schemas.microsoft.com/sharepoint/v3" xsi:nil="true"/>
    <lcf76f155ced4ddcb4097134ff3c332f xmlns="b1cfadd8-d294-4d34-bc36-10edd03a80b3">
      <Terms xmlns="http://schemas.microsoft.com/office/infopath/2007/PartnerControls"/>
    </lcf76f155ced4ddcb4097134ff3c332f>
    <Test xmlns="b1cfadd8-d294-4d34-bc36-10edd03a80b3">
      <UserInfo>
        <DisplayName/>
        <AccountId xsi:nil="true"/>
        <AccountType/>
      </UserInfo>
    </Test>
    <Filtype xmlns="b1cfadd8-d294-4d34-bc36-10edd03a80b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782FA0-B7DB-43FE-AE25-ADC66CA8D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1cfadd8-d294-4d34-bc36-10edd03a80b3"/>
    <ds:schemaRef ds:uri="57e246f5-a181-4ddd-bcfa-8f2bd33c0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C17EDF-ECFA-43F1-8191-4524EDF35F89}">
  <ds:schemaRefs>
    <ds:schemaRef ds:uri="http://schemas.microsoft.com/DataMashup"/>
  </ds:schemaRefs>
</ds:datastoreItem>
</file>

<file path=customXml/itemProps3.xml><?xml version="1.0" encoding="utf-8"?>
<ds:datastoreItem xmlns:ds="http://schemas.openxmlformats.org/officeDocument/2006/customXml" ds:itemID="{9255EE65-9F70-42B6-B5C7-1C62B86FD998}">
  <ds:schemaRefs>
    <ds:schemaRef ds:uri="http://purl.org/dc/dcmitype/"/>
    <ds:schemaRef ds:uri="57e246f5-a181-4ddd-bcfa-8f2bd33c0c9c"/>
    <ds:schemaRef ds:uri="http://schemas.openxmlformats.org/package/2006/metadata/core-properties"/>
    <ds:schemaRef ds:uri="http://schemas.microsoft.com/sharepoint/v3"/>
    <ds:schemaRef ds:uri="http://schemas.microsoft.com/office/infopath/2007/PartnerControls"/>
    <ds:schemaRef ds:uri="http://purl.org/dc/terms/"/>
    <ds:schemaRef ds:uri="http://schemas.microsoft.com/office/2006/documentManagement/types"/>
    <ds:schemaRef ds:uri="http://schemas.microsoft.com/office/2006/metadata/properties"/>
    <ds:schemaRef ds:uri="http://purl.org/dc/elements/1.1/"/>
    <ds:schemaRef ds:uri="b1cfadd8-d294-4d34-bc36-10edd03a80b3"/>
    <ds:schemaRef ds:uri="http://www.w3.org/XML/1998/namespace"/>
  </ds:schemaRefs>
</ds:datastoreItem>
</file>

<file path=customXml/itemProps4.xml><?xml version="1.0" encoding="utf-8"?>
<ds:datastoreItem xmlns:ds="http://schemas.openxmlformats.org/officeDocument/2006/customXml" ds:itemID="{998AA589-29AB-4BB3-85DB-014661AD5921}">
  <ds:schemaRefs>
    <ds:schemaRef ds:uri="http://schemas.microsoft.com/sharepoint/v3/contenttype/forms"/>
  </ds:schemaRefs>
</ds:datastoreItem>
</file>

<file path=docMetadata/LabelInfo.xml><?xml version="1.0" encoding="utf-8"?>
<clbl:labelList xmlns:clbl="http://schemas.microsoft.com/office/2020/mipLabelMetadata">
  <clbl:label id="{f1b8f2ce-0142-4f44-a9c4-740ebcc2b4c9}" enabled="1" method="Standard" siteId="{4b275c45-50e2-4a26-8792-73ca62c33bc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92</vt:i4>
      </vt:variant>
    </vt:vector>
  </HeadingPairs>
  <TitlesOfParts>
    <vt:vector size="106" baseType="lpstr">
      <vt:lpstr>Projekt</vt:lpstr>
      <vt:lpstr>Introduktion</vt:lpstr>
      <vt:lpstr>Beregner</vt:lpstr>
      <vt:lpstr>Metode</vt:lpstr>
      <vt:lpstr>Grafpunkter</vt:lpstr>
      <vt:lpstr>Tidstabel</vt:lpstr>
      <vt:lpstr>Materialedata</vt:lpstr>
      <vt:lpstr>Byggeprocess</vt:lpstr>
      <vt:lpstr>Vedligehold</vt:lpstr>
      <vt:lpstr>Energiberegning</vt:lpstr>
      <vt:lpstr>Energiprognose</vt:lpstr>
      <vt:lpstr>Økonomidata</vt:lpstr>
      <vt:lpstr>InputCheck</vt:lpstr>
      <vt:lpstr>Valgmuligheder</vt:lpstr>
      <vt:lpstr>A5_ElVarmeBrændstofByggeplads</vt:lpstr>
      <vt:lpstr>AP_Enhedspris</vt:lpstr>
      <vt:lpstr>AP_Genoprettelse</vt:lpstr>
      <vt:lpstr>AP_Levetid</vt:lpstr>
      <vt:lpstr>AP_Materiale</vt:lpstr>
      <vt:lpstr>AP_Titel</vt:lpstr>
      <vt:lpstr>AP_Vedligehold_i</vt:lpstr>
      <vt:lpstr>AP_Vedligehold_p</vt:lpstr>
      <vt:lpstr>BlankTegn</vt:lpstr>
      <vt:lpstr>Byggeomkostningsindeks</vt:lpstr>
      <vt:lpstr>Check_Fremskridtsvisning</vt:lpstr>
      <vt:lpstr>Check_Færdighedsgrad</vt:lpstr>
      <vt:lpstr>EF_Enhedspris</vt:lpstr>
      <vt:lpstr>EF_Levetid</vt:lpstr>
      <vt:lpstr>EF_Vedligehold_i</vt:lpstr>
      <vt:lpstr>EF_Vedligehold_p</vt:lpstr>
      <vt:lpstr>EI_Enhedspris</vt:lpstr>
      <vt:lpstr>EI_Genoprettelse</vt:lpstr>
      <vt:lpstr>EI_Levetid</vt:lpstr>
      <vt:lpstr>EI_Materiale</vt:lpstr>
      <vt:lpstr>EI_Titel</vt:lpstr>
      <vt:lpstr>EI_Vedligehold_i</vt:lpstr>
      <vt:lpstr>EI_Vedligehold_p</vt:lpstr>
      <vt:lpstr>Energibesparelse_Årlig</vt:lpstr>
      <vt:lpstr>Enhedspris_Klimafacade_Total</vt:lpstr>
      <vt:lpstr>Facadekomponenter</vt:lpstr>
      <vt:lpstr>FB_Enhedspris</vt:lpstr>
      <vt:lpstr>FB_Genoprettelse</vt:lpstr>
      <vt:lpstr>FB_Levetid</vt:lpstr>
      <vt:lpstr>FB_Materiale</vt:lpstr>
      <vt:lpstr>FB_Titel</vt:lpstr>
      <vt:lpstr>FB_Vedligehold_i</vt:lpstr>
      <vt:lpstr>FB_Vedligehold_p</vt:lpstr>
      <vt:lpstr>Input_Afstandsprofil</vt:lpstr>
      <vt:lpstr>Input_EksisterendeFacade</vt:lpstr>
      <vt:lpstr>Input_Etableringsår</vt:lpstr>
      <vt:lpstr>Input_Facadebeklædning</vt:lpstr>
      <vt:lpstr>Input_Fjernvarmepris</vt:lpstr>
      <vt:lpstr>Input_Genbrug_Afstandsprofil</vt:lpstr>
      <vt:lpstr>Input_Genbrug_Facadebeklædning</vt:lpstr>
      <vt:lpstr>Input_Genbrug_Isolering</vt:lpstr>
      <vt:lpstr>Input_Genbrug_Skelet</vt:lpstr>
      <vt:lpstr>Input_Genbrug_Vindspærre</vt:lpstr>
      <vt:lpstr>Input_Isolering</vt:lpstr>
      <vt:lpstr>Input_Isoleringstykkelse</vt:lpstr>
      <vt:lpstr>Input_Skelet</vt:lpstr>
      <vt:lpstr>Input_Tidshorisont</vt:lpstr>
      <vt:lpstr>Input_Vindspærre</vt:lpstr>
      <vt:lpstr>KR_Trin0_Rente</vt:lpstr>
      <vt:lpstr>KR_Trin0_Tærskel</vt:lpstr>
      <vt:lpstr>KR_Trin1_Rente</vt:lpstr>
      <vt:lpstr>KR_Trin1_Tærskel</vt:lpstr>
      <vt:lpstr>KR_Trin2_Rente</vt:lpstr>
      <vt:lpstr>KR_Trin2_Tærskel</vt:lpstr>
      <vt:lpstr>KR_Trin3_Rente</vt:lpstr>
      <vt:lpstr>KR_Trin3_Tærskel</vt:lpstr>
      <vt:lpstr>LCA_Rentabel_År</vt:lpstr>
      <vt:lpstr>LCC_Rentabel_År</vt:lpstr>
      <vt:lpstr>MolioPrisdataÅr</vt:lpstr>
      <vt:lpstr>PrisudviklingFjernvarme</vt:lpstr>
      <vt:lpstr>PrisudviklingGenerelt</vt:lpstr>
      <vt:lpstr>Range_Energi_År</vt:lpstr>
      <vt:lpstr>Range_Energi_ÅrligBesparelse</vt:lpstr>
      <vt:lpstr>Range_Energi_Årstal</vt:lpstr>
      <vt:lpstr>Range_Komponent_Materialer</vt:lpstr>
      <vt:lpstr>Range_Materiale_Genbrug</vt:lpstr>
      <vt:lpstr>Range_Materiale_År</vt:lpstr>
      <vt:lpstr>Range_Materiale_ÅrligeEmissioner</vt:lpstr>
      <vt:lpstr>SK_Enhedspris</vt:lpstr>
      <vt:lpstr>SK_Genoprettelse</vt:lpstr>
      <vt:lpstr>SK_Levetid</vt:lpstr>
      <vt:lpstr>SK_Materiale</vt:lpstr>
      <vt:lpstr>SK_Titel</vt:lpstr>
      <vt:lpstr>SK_Vedligehold_i</vt:lpstr>
      <vt:lpstr>SK_Vedligehold_p</vt:lpstr>
      <vt:lpstr>VS_Enhedspris</vt:lpstr>
      <vt:lpstr>VS_Genoprettelse</vt:lpstr>
      <vt:lpstr>VS_Levetid</vt:lpstr>
      <vt:lpstr>VS_Materiale</vt:lpstr>
      <vt:lpstr>VS_Titel</vt:lpstr>
      <vt:lpstr>VS_Vedligehold_i</vt:lpstr>
      <vt:lpstr>VS_Vedligehold_p</vt:lpstr>
      <vt:lpstr>Vælg_Afstandsprofil</vt:lpstr>
      <vt:lpstr>Vælg_EksisterendeFacade</vt:lpstr>
      <vt:lpstr>Vælg_Etableringsår</vt:lpstr>
      <vt:lpstr>Vælg_Facadebeklædning</vt:lpstr>
      <vt:lpstr>Vælg_Isolering</vt:lpstr>
      <vt:lpstr>Vælg_Isoleringstykkelse</vt:lpstr>
      <vt:lpstr>Vælg_SamletIsolering</vt:lpstr>
      <vt:lpstr>Vælg_Skelet</vt:lpstr>
      <vt:lpstr>Vælg_Tidshorisont</vt:lpstr>
      <vt:lpstr>Vælg_Vindspærre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Skabelon til større excelmodeller</dc:title>
  <dc:subject/>
  <dc:creator>Morten Mikkel Mejlhede Rolsted | Viegand Maagøe</dc:creator>
  <cp:keywords/>
  <dc:description/>
  <cp:lastModifiedBy>Morten Mikkel Mejlhede Rolsted | Viegand Maagøe</cp:lastModifiedBy>
  <cp:revision/>
  <cp:lastPrinted>2024-05-28T21:44:24Z</cp:lastPrinted>
  <dcterms:created xsi:type="dcterms:W3CDTF">2019-08-07T12:38:40Z</dcterms:created>
  <dcterms:modified xsi:type="dcterms:W3CDTF">2024-05-31T09:59:02Z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0x010100BC3B9A469B46B247871857FE4162BDF0</vt:lpwstr>
  </property>
  <property fmtid="{D5CDD505-2E9C-101B-9397-08002B2CF9AE}" pid="3" name="_dlc_DocIdItemGuid">
    <vt:lpwstr>12028319-f504-44c6-861c-6850a708ed70</vt:lpwstr>
  </property>
  <property fmtid="{D5CDD505-2E9C-101B-9397-08002B2CF9AE}" pid="4" name="MediaServiceImageTags">
    <vt:lpwstr/>
  </property>
  <property fmtid="{D5CDD505-2E9C-101B-9397-08002B2CF9AE}" pid="5" name="MSIP_Label_f1b8f2ce-0142-4f44-a9c4-740ebcc2b4c9_Enabled">
    <vt:lpwstr>true</vt:lpwstr>
  </property>
  <property fmtid="{D5CDD505-2E9C-101B-9397-08002B2CF9AE}" pid="6" name="MSIP_Label_f1b8f2ce-0142-4f44-a9c4-740ebcc2b4c9_SetDate">
    <vt:lpwstr>2024-02-27T08:49:52Z</vt:lpwstr>
  </property>
  <property fmtid="{D5CDD505-2E9C-101B-9397-08002B2CF9AE}" pid="7" name="MSIP_Label_f1b8f2ce-0142-4f44-a9c4-740ebcc2b4c9_Method">
    <vt:lpwstr>Standard</vt:lpwstr>
  </property>
  <property fmtid="{D5CDD505-2E9C-101B-9397-08002B2CF9AE}" pid="8" name="MSIP_Label_f1b8f2ce-0142-4f44-a9c4-740ebcc2b4c9_Name">
    <vt:lpwstr>General</vt:lpwstr>
  </property>
  <property fmtid="{D5CDD505-2E9C-101B-9397-08002B2CF9AE}" pid="9" name="MSIP_Label_f1b8f2ce-0142-4f44-a9c4-740ebcc2b4c9_SiteId">
    <vt:lpwstr>4b275c45-50e2-4a26-8792-73ca62c33bc5</vt:lpwstr>
  </property>
  <property fmtid="{D5CDD505-2E9C-101B-9397-08002B2CF9AE}" pid="10" name="MSIP_Label_f1b8f2ce-0142-4f44-a9c4-740ebcc2b4c9_ActionId">
    <vt:lpwstr>b234b962-0bec-4e57-83c3-002dd20f02ae</vt:lpwstr>
  </property>
  <property fmtid="{D5CDD505-2E9C-101B-9397-08002B2CF9AE}" pid="11" name="MSIP_Label_f1b8f2ce-0142-4f44-a9c4-740ebcc2b4c9_ContentBits">
    <vt:lpwstr>0</vt:lpwstr>
  </property>
</Properties>
</file>